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FOCAT (Documentos)\SINIESTROS RAVISUR\"/>
    </mc:Choice>
  </mc:AlternateContent>
  <bookViews>
    <workbookView xWindow="-2775" yWindow="510" windowWidth="9855" windowHeight="6225" activeTab="2"/>
  </bookViews>
  <sheets>
    <sheet name="2019" sheetId="7" r:id="rId1"/>
    <sheet name="2018" sheetId="9" r:id="rId2"/>
    <sheet name="2017" sheetId="8" r:id="rId3"/>
    <sheet name="2016" sheetId="6" r:id="rId4"/>
    <sheet name="2015" sheetId="4" r:id="rId5"/>
    <sheet name="2014" sheetId="1" r:id="rId6"/>
    <sheet name="2013" sheetId="2" r:id="rId7"/>
  </sheets>
  <externalReferences>
    <externalReference r:id="rId8"/>
  </externalReferences>
  <definedNames>
    <definedName name="_xlnm._FilterDatabase" localSheetId="4" hidden="1">'2015'!$A$2:$S$832</definedName>
    <definedName name="_xlnm._FilterDatabase" localSheetId="3" hidden="1">'2016'!$A$1:$S$690</definedName>
    <definedName name="_xlnm._FilterDatabase" localSheetId="2" hidden="1">'2017'!$A$1:$S$279</definedName>
    <definedName name="_xlnm._FilterDatabase" localSheetId="1" hidden="1">'2018'!$A$3:$S$494</definedName>
  </definedNames>
  <calcPr calcId="152511"/>
</workbook>
</file>

<file path=xl/calcChain.xml><?xml version="1.0" encoding="utf-8"?>
<calcChain xmlns="http://schemas.openxmlformats.org/spreadsheetml/2006/main">
  <c r="I319" i="9" l="1"/>
  <c r="G464" i="9" l="1"/>
  <c r="G192" i="9"/>
  <c r="Q201" i="7"/>
  <c r="R201" i="7"/>
  <c r="S201" i="7"/>
  <c r="Q202" i="7"/>
  <c r="Q234" i="7" s="1"/>
  <c r="R202" i="7"/>
  <c r="Q203" i="7"/>
  <c r="S203" i="7" s="1"/>
  <c r="R203" i="7"/>
  <c r="R234" i="7" s="1"/>
  <c r="Q204" i="7"/>
  <c r="R204" i="7"/>
  <c r="S204" i="7"/>
  <c r="Q205" i="7"/>
  <c r="R205" i="7"/>
  <c r="S205" i="7"/>
  <c r="Q206" i="7"/>
  <c r="S206" i="7" s="1"/>
  <c r="R206" i="7"/>
  <c r="Q207" i="7"/>
  <c r="S207" i="7" s="1"/>
  <c r="R207" i="7"/>
  <c r="Q208" i="7"/>
  <c r="R208" i="7"/>
  <c r="S208" i="7"/>
  <c r="Q209" i="7"/>
  <c r="R209" i="7"/>
  <c r="S209" i="7"/>
  <c r="Q210" i="7"/>
  <c r="S210" i="7" s="1"/>
  <c r="R210" i="7"/>
  <c r="Q211" i="7"/>
  <c r="S211" i="7" s="1"/>
  <c r="R211" i="7"/>
  <c r="Q212" i="7"/>
  <c r="R212" i="7"/>
  <c r="S212" i="7"/>
  <c r="Q213" i="7"/>
  <c r="R213" i="7"/>
  <c r="S213" i="7"/>
  <c r="Q214" i="7"/>
  <c r="S214" i="7" s="1"/>
  <c r="R214" i="7"/>
  <c r="Q215" i="7"/>
  <c r="S215" i="7" s="1"/>
  <c r="R215" i="7"/>
  <c r="Q216" i="7"/>
  <c r="R216" i="7"/>
  <c r="S216" i="7"/>
  <c r="Q217" i="7"/>
  <c r="R217" i="7"/>
  <c r="S217" i="7"/>
  <c r="Q218" i="7"/>
  <c r="S218" i="7" s="1"/>
  <c r="R218" i="7"/>
  <c r="Q219" i="7"/>
  <c r="S219" i="7" s="1"/>
  <c r="R219" i="7"/>
  <c r="Q220" i="7"/>
  <c r="R220" i="7"/>
  <c r="S220" i="7"/>
  <c r="Q221" i="7"/>
  <c r="R221" i="7"/>
  <c r="S221" i="7"/>
  <c r="Q222" i="7"/>
  <c r="S222" i="7" s="1"/>
  <c r="R222" i="7"/>
  <c r="Q223" i="7"/>
  <c r="S223" i="7" s="1"/>
  <c r="R223" i="7"/>
  <c r="Q224" i="7"/>
  <c r="R224" i="7"/>
  <c r="S224" i="7"/>
  <c r="Q225" i="7"/>
  <c r="R225" i="7"/>
  <c r="S225" i="7"/>
  <c r="Q226" i="7"/>
  <c r="S226" i="7" s="1"/>
  <c r="R226" i="7"/>
  <c r="Q227" i="7"/>
  <c r="S227" i="7" s="1"/>
  <c r="R227" i="7"/>
  <c r="Q228" i="7"/>
  <c r="R228" i="7"/>
  <c r="S228" i="7"/>
  <c r="Q229" i="7"/>
  <c r="R229" i="7"/>
  <c r="S229" i="7"/>
  <c r="Q230" i="7"/>
  <c r="S230" i="7" s="1"/>
  <c r="R230" i="7"/>
  <c r="Q231" i="7"/>
  <c r="S231" i="7" s="1"/>
  <c r="R231" i="7"/>
  <c r="Q232" i="7"/>
  <c r="R232" i="7"/>
  <c r="S232" i="7"/>
  <c r="Q233" i="7"/>
  <c r="R233" i="7"/>
  <c r="S233" i="7"/>
  <c r="H234" i="7"/>
  <c r="I234" i="7"/>
  <c r="J234" i="7"/>
  <c r="K234" i="7"/>
  <c r="L234" i="7"/>
  <c r="M234" i="7"/>
  <c r="N234" i="7"/>
  <c r="O234" i="7"/>
  <c r="P234" i="7"/>
  <c r="G234" i="7"/>
  <c r="G190" i="9"/>
  <c r="S202" i="7" l="1"/>
  <c r="S234" i="7" s="1"/>
  <c r="G423" i="9" l="1"/>
  <c r="G422" i="9"/>
  <c r="G353" i="9"/>
  <c r="G352" i="9"/>
  <c r="G348" i="9"/>
  <c r="G337" i="9"/>
  <c r="G323" i="9"/>
  <c r="G279" i="9"/>
  <c r="G125" i="7"/>
  <c r="G186" i="7" l="1"/>
  <c r="G168" i="7"/>
  <c r="G123" i="7"/>
  <c r="G115" i="7"/>
  <c r="I109" i="7"/>
  <c r="G99" i="7"/>
  <c r="G79" i="7"/>
  <c r="G78" i="7"/>
  <c r="G77" i="7"/>
  <c r="G76" i="7"/>
  <c r="G62" i="7"/>
  <c r="G31" i="7"/>
  <c r="G20" i="7"/>
  <c r="G155" i="7" l="1"/>
  <c r="I129" i="7"/>
  <c r="G119" i="7"/>
  <c r="G105" i="7"/>
  <c r="I62" i="7"/>
  <c r="I31" i="7"/>
  <c r="I9" i="7"/>
  <c r="I7" i="7"/>
  <c r="G127" i="7" l="1"/>
  <c r="I97" i="7"/>
  <c r="G34" i="7"/>
  <c r="I30" i="7"/>
  <c r="G360" i="9"/>
  <c r="G690" i="6" l="1"/>
  <c r="G536" i="8"/>
  <c r="I494" i="9"/>
  <c r="G494" i="9"/>
  <c r="Q192" i="7"/>
  <c r="R192" i="7"/>
  <c r="Q193" i="7"/>
  <c r="S193" i="7" s="1"/>
  <c r="R193" i="7"/>
  <c r="Q194" i="7"/>
  <c r="R194" i="7"/>
  <c r="S194" i="7"/>
  <c r="Q195" i="7"/>
  <c r="R195" i="7"/>
  <c r="S195" i="7"/>
  <c r="Q196" i="7"/>
  <c r="S196" i="7" s="1"/>
  <c r="R196" i="7"/>
  <c r="Q197" i="7"/>
  <c r="R197" i="7"/>
  <c r="Q198" i="7"/>
  <c r="S198" i="7" s="1"/>
  <c r="R198" i="7"/>
  <c r="Q199" i="7"/>
  <c r="R199" i="7"/>
  <c r="S199" i="7"/>
  <c r="Q200" i="7"/>
  <c r="R200" i="7"/>
  <c r="G456" i="9"/>
  <c r="G453" i="9"/>
  <c r="G439" i="9"/>
  <c r="S197" i="7" l="1"/>
  <c r="S192" i="7"/>
  <c r="S200" i="7"/>
  <c r="G256" i="9"/>
  <c r="G225" i="9"/>
  <c r="G187" i="9"/>
  <c r="G113" i="9"/>
  <c r="G157" i="7" l="1"/>
  <c r="G138" i="7"/>
  <c r="G110" i="7"/>
  <c r="G109" i="7"/>
  <c r="G95" i="7"/>
  <c r="G33" i="7"/>
  <c r="G9" i="7" l="1"/>
  <c r="G130" i="7"/>
  <c r="G124" i="7"/>
  <c r="G128" i="7"/>
  <c r="G126" i="7"/>
  <c r="G122" i="7"/>
  <c r="G101" i="7"/>
  <c r="G92" i="7"/>
  <c r="G91" i="7"/>
  <c r="G90" i="7"/>
  <c r="G467" i="9" l="1"/>
  <c r="G336" i="9"/>
  <c r="G27" i="9"/>
  <c r="Q131" i="7" l="1"/>
  <c r="R131" i="7"/>
  <c r="S131" i="7"/>
  <c r="Q132" i="7"/>
  <c r="R132" i="7"/>
  <c r="Q133" i="7"/>
  <c r="R133" i="7"/>
  <c r="Q134" i="7"/>
  <c r="R134" i="7"/>
  <c r="S134" i="7"/>
  <c r="Q135" i="7"/>
  <c r="S135" i="7" s="1"/>
  <c r="R135" i="7"/>
  <c r="Q136" i="7"/>
  <c r="R136" i="7"/>
  <c r="Q137" i="7"/>
  <c r="R137" i="7"/>
  <c r="Q138" i="7"/>
  <c r="R138" i="7"/>
  <c r="Q139" i="7"/>
  <c r="R139" i="7"/>
  <c r="Q140" i="7"/>
  <c r="R140" i="7"/>
  <c r="Q141" i="7"/>
  <c r="R141" i="7"/>
  <c r="Q142" i="7"/>
  <c r="R142" i="7"/>
  <c r="Q143" i="7"/>
  <c r="S143" i="7" s="1"/>
  <c r="R143" i="7"/>
  <c r="Q144" i="7"/>
  <c r="R144" i="7"/>
  <c r="Q145" i="7"/>
  <c r="S145" i="7" s="1"/>
  <c r="R145" i="7"/>
  <c r="Q146" i="7"/>
  <c r="R146" i="7"/>
  <c r="S146" i="7"/>
  <c r="Q147" i="7"/>
  <c r="R147" i="7"/>
  <c r="S147" i="7"/>
  <c r="Q148" i="7"/>
  <c r="S148" i="7" s="1"/>
  <c r="R148" i="7"/>
  <c r="Q149" i="7"/>
  <c r="R149" i="7"/>
  <c r="Q150" i="7"/>
  <c r="S150" i="7" s="1"/>
  <c r="R150" i="7"/>
  <c r="Q151" i="7"/>
  <c r="R151" i="7"/>
  <c r="Q152" i="7"/>
  <c r="R152" i="7"/>
  <c r="Q153" i="7"/>
  <c r="R153" i="7"/>
  <c r="Q154" i="7"/>
  <c r="S154" i="7" s="1"/>
  <c r="R154" i="7"/>
  <c r="Q155" i="7"/>
  <c r="R155" i="7"/>
  <c r="Q156" i="7"/>
  <c r="R156" i="7"/>
  <c r="Q157" i="7"/>
  <c r="R157" i="7"/>
  <c r="Q158" i="7"/>
  <c r="R158" i="7"/>
  <c r="Q159" i="7"/>
  <c r="S159" i="7" s="1"/>
  <c r="R159" i="7"/>
  <c r="Q160" i="7"/>
  <c r="R160" i="7"/>
  <c r="Q161" i="7"/>
  <c r="R161" i="7"/>
  <c r="Q162" i="7"/>
  <c r="R162" i="7"/>
  <c r="S162" i="7"/>
  <c r="Q163" i="7"/>
  <c r="R163" i="7"/>
  <c r="Q164" i="7"/>
  <c r="R164" i="7"/>
  <c r="Q165" i="7"/>
  <c r="R165" i="7"/>
  <c r="Q166" i="7"/>
  <c r="R166" i="7"/>
  <c r="Q167" i="7"/>
  <c r="R167" i="7"/>
  <c r="S167" i="7"/>
  <c r="Q168" i="7"/>
  <c r="R168" i="7"/>
  <c r="Q169" i="7"/>
  <c r="R169" i="7"/>
  <c r="Q170" i="7"/>
  <c r="S170" i="7" s="1"/>
  <c r="R170" i="7"/>
  <c r="Q171" i="7"/>
  <c r="R171" i="7"/>
  <c r="Q172" i="7"/>
  <c r="R172" i="7"/>
  <c r="Q173" i="7"/>
  <c r="R173" i="7"/>
  <c r="Q174" i="7"/>
  <c r="R174" i="7"/>
  <c r="Q175" i="7"/>
  <c r="S175" i="7" s="1"/>
  <c r="R175" i="7"/>
  <c r="Q176" i="7"/>
  <c r="R176" i="7"/>
  <c r="Q177" i="7"/>
  <c r="R177" i="7"/>
  <c r="Q178" i="7"/>
  <c r="R178" i="7"/>
  <c r="Q179" i="7"/>
  <c r="S179" i="7" s="1"/>
  <c r="R179" i="7"/>
  <c r="Q180" i="7"/>
  <c r="R180" i="7"/>
  <c r="Q181" i="7"/>
  <c r="R181" i="7"/>
  <c r="Q182" i="7"/>
  <c r="R182" i="7"/>
  <c r="Q183" i="7"/>
  <c r="S183" i="7" s="1"/>
  <c r="R183" i="7"/>
  <c r="Q184" i="7"/>
  <c r="R184" i="7"/>
  <c r="Q185" i="7"/>
  <c r="R185" i="7"/>
  <c r="Q186" i="7"/>
  <c r="R186" i="7"/>
  <c r="Q187" i="7"/>
  <c r="R187" i="7"/>
  <c r="Q188" i="7"/>
  <c r="R188" i="7"/>
  <c r="Q189" i="7"/>
  <c r="R189" i="7"/>
  <c r="Q190" i="7"/>
  <c r="R190" i="7"/>
  <c r="Q191" i="7"/>
  <c r="R191" i="7"/>
  <c r="S191" i="7"/>
  <c r="G113" i="7"/>
  <c r="G107" i="7"/>
  <c r="S190" i="7" l="1"/>
  <c r="S186" i="7"/>
  <c r="S171" i="7"/>
  <c r="S166" i="7"/>
  <c r="S182" i="7"/>
  <c r="S178" i="7"/>
  <c r="S153" i="7"/>
  <c r="S151" i="7"/>
  <c r="S142" i="7"/>
  <c r="S140" i="7"/>
  <c r="S138" i="7"/>
  <c r="S187" i="7"/>
  <c r="S174" i="7"/>
  <c r="S163" i="7"/>
  <c r="S158" i="7"/>
  <c r="S188" i="7"/>
  <c r="S185" i="7"/>
  <c r="S180" i="7"/>
  <c r="S177" i="7"/>
  <c r="S172" i="7"/>
  <c r="S169" i="7"/>
  <c r="S164" i="7"/>
  <c r="S161" i="7"/>
  <c r="S156" i="7"/>
  <c r="S136" i="7"/>
  <c r="S133" i="7"/>
  <c r="S152" i="7"/>
  <c r="S149" i="7"/>
  <c r="S144" i="7"/>
  <c r="S141" i="7"/>
  <c r="S139" i="7"/>
  <c r="S189" i="7"/>
  <c r="S184" i="7"/>
  <c r="S181" i="7"/>
  <c r="S176" i="7"/>
  <c r="S173" i="7"/>
  <c r="S168" i="7"/>
  <c r="S165" i="7"/>
  <c r="S160" i="7"/>
  <c r="S157" i="7"/>
  <c r="S155" i="7"/>
  <c r="S137" i="7"/>
  <c r="S132" i="7"/>
  <c r="G30" i="7"/>
  <c r="G7" i="7"/>
  <c r="G94" i="7" l="1"/>
  <c r="G84" i="7" l="1"/>
  <c r="G66" i="7"/>
  <c r="G65" i="7"/>
  <c r="G61" i="7"/>
  <c r="G26" i="7"/>
  <c r="G13" i="7"/>
  <c r="G12" i="7"/>
  <c r="G10" i="7"/>
  <c r="G8" i="7"/>
  <c r="G462" i="9" l="1"/>
  <c r="I422" i="9"/>
  <c r="G419" i="9" l="1"/>
  <c r="G404" i="9"/>
  <c r="G382" i="9"/>
  <c r="G331" i="9"/>
  <c r="G308" i="9"/>
  <c r="G184" i="9" l="1"/>
  <c r="G159" i="9"/>
  <c r="G119" i="9"/>
  <c r="G81" i="9"/>
  <c r="G82" i="9"/>
  <c r="G73" i="9"/>
  <c r="G72" i="9"/>
  <c r="G43" i="9"/>
  <c r="G23" i="9"/>
  <c r="G7" i="9"/>
  <c r="G430" i="8"/>
  <c r="G394" i="8"/>
  <c r="G305" i="8"/>
  <c r="G223" i="8"/>
  <c r="S993" i="2" l="1"/>
  <c r="R993" i="2"/>
  <c r="Q993" i="2"/>
  <c r="P993" i="2"/>
  <c r="O993" i="2"/>
  <c r="N993" i="2"/>
  <c r="M993" i="2"/>
  <c r="L993" i="2"/>
  <c r="K993" i="2"/>
  <c r="J993" i="2"/>
  <c r="I993" i="2"/>
  <c r="H993" i="2"/>
  <c r="G993" i="2"/>
  <c r="S992" i="2"/>
  <c r="R992" i="2"/>
  <c r="Q992" i="2"/>
  <c r="S991" i="2"/>
  <c r="R991" i="2"/>
  <c r="Q991" i="2"/>
  <c r="S990" i="2"/>
  <c r="R990" i="2"/>
  <c r="Q990" i="2"/>
  <c r="S989" i="2"/>
  <c r="R989" i="2"/>
  <c r="Q989" i="2"/>
  <c r="G989" i="2"/>
  <c r="S988" i="2"/>
  <c r="R988" i="2"/>
  <c r="Q988" i="2"/>
  <c r="S987" i="2"/>
  <c r="R987" i="2"/>
  <c r="Q987" i="2"/>
  <c r="S986" i="2"/>
  <c r="R986" i="2"/>
  <c r="Q986" i="2"/>
  <c r="S985" i="2"/>
  <c r="R985" i="2"/>
  <c r="Q985" i="2"/>
  <c r="G985" i="2"/>
  <c r="S984" i="2"/>
  <c r="R984" i="2"/>
  <c r="Q984" i="2"/>
  <c r="S983" i="2"/>
  <c r="R983" i="2"/>
  <c r="Q983" i="2"/>
  <c r="S982" i="2"/>
  <c r="R982" i="2"/>
  <c r="Q982" i="2"/>
  <c r="S981" i="2"/>
  <c r="R981" i="2"/>
  <c r="Q981" i="2"/>
  <c r="S980" i="2"/>
  <c r="R980" i="2"/>
  <c r="Q980" i="2"/>
  <c r="S979" i="2"/>
  <c r="R979" i="2"/>
  <c r="Q979" i="2"/>
  <c r="S978" i="2"/>
  <c r="R978" i="2"/>
  <c r="Q978" i="2"/>
  <c r="S977" i="2"/>
  <c r="R977" i="2"/>
  <c r="Q977" i="2"/>
  <c r="S976" i="2"/>
  <c r="R976" i="2"/>
  <c r="Q976" i="2"/>
  <c r="S975" i="2"/>
  <c r="R975" i="2"/>
  <c r="Q975" i="2"/>
  <c r="S974" i="2"/>
  <c r="R974" i="2"/>
  <c r="Q974" i="2"/>
  <c r="I974" i="2"/>
  <c r="G974" i="2"/>
  <c r="S973" i="2"/>
  <c r="R973" i="2"/>
  <c r="Q973" i="2"/>
  <c r="G973" i="2"/>
  <c r="S972" i="2"/>
  <c r="R972" i="2"/>
  <c r="Q972" i="2"/>
  <c r="S971" i="2"/>
  <c r="R971" i="2"/>
  <c r="Q971" i="2"/>
  <c r="G971" i="2"/>
  <c r="S970" i="2"/>
  <c r="R970" i="2"/>
  <c r="Q970" i="2"/>
  <c r="G970" i="2"/>
  <c r="S969" i="2"/>
  <c r="R969" i="2"/>
  <c r="Q969" i="2"/>
  <c r="G969" i="2"/>
  <c r="S968" i="2"/>
  <c r="R968" i="2"/>
  <c r="Q968" i="2"/>
  <c r="G968" i="2"/>
  <c r="S967" i="2"/>
  <c r="R967" i="2"/>
  <c r="Q967" i="2"/>
  <c r="G967" i="2"/>
  <c r="S966" i="2"/>
  <c r="R966" i="2"/>
  <c r="Q966" i="2"/>
  <c r="S965" i="2"/>
  <c r="R965" i="2"/>
  <c r="Q965" i="2"/>
  <c r="G965" i="2"/>
  <c r="S964" i="2"/>
  <c r="R964" i="2"/>
  <c r="Q964" i="2"/>
  <c r="G964" i="2"/>
  <c r="S963" i="2"/>
  <c r="R963" i="2"/>
  <c r="Q963" i="2"/>
  <c r="G963" i="2"/>
  <c r="S962" i="2"/>
  <c r="R962" i="2"/>
  <c r="Q962" i="2"/>
  <c r="G962" i="2"/>
  <c r="S961" i="2"/>
  <c r="R961" i="2"/>
  <c r="Q961" i="2"/>
  <c r="G961" i="2"/>
  <c r="S960" i="2"/>
  <c r="R960" i="2"/>
  <c r="Q960" i="2"/>
  <c r="G960" i="2"/>
  <c r="S959" i="2"/>
  <c r="R959" i="2"/>
  <c r="Q959" i="2"/>
  <c r="G959" i="2"/>
  <c r="S958" i="2"/>
  <c r="R958" i="2"/>
  <c r="Q958" i="2"/>
  <c r="G958" i="2"/>
  <c r="S957" i="2"/>
  <c r="R957" i="2"/>
  <c r="Q957" i="2"/>
  <c r="G957" i="2"/>
  <c r="S956" i="2"/>
  <c r="R956" i="2"/>
  <c r="Q956" i="2"/>
  <c r="G956" i="2"/>
  <c r="S955" i="2"/>
  <c r="R955" i="2"/>
  <c r="Q955" i="2"/>
  <c r="S954" i="2"/>
  <c r="R954" i="2"/>
  <c r="Q954" i="2"/>
  <c r="G954" i="2"/>
  <c r="S953" i="2"/>
  <c r="R953" i="2"/>
  <c r="Q953" i="2"/>
  <c r="G953" i="2"/>
  <c r="S952" i="2"/>
  <c r="R952" i="2"/>
  <c r="Q952" i="2"/>
  <c r="G952" i="2"/>
  <c r="S951" i="2"/>
  <c r="R951" i="2"/>
  <c r="Q951" i="2"/>
  <c r="I951" i="2"/>
  <c r="G951" i="2"/>
  <c r="S950" i="2"/>
  <c r="R950" i="2"/>
  <c r="Q950" i="2"/>
  <c r="G950" i="2"/>
  <c r="S949" i="2"/>
  <c r="R949" i="2"/>
  <c r="Q949" i="2"/>
  <c r="I949" i="2"/>
  <c r="G949" i="2"/>
  <c r="S948" i="2"/>
  <c r="R948" i="2"/>
  <c r="Q948" i="2"/>
  <c r="G948" i="2"/>
  <c r="S947" i="2"/>
  <c r="R947" i="2"/>
  <c r="Q947" i="2"/>
  <c r="G947" i="2"/>
  <c r="S946" i="2"/>
  <c r="R946" i="2"/>
  <c r="Q946" i="2"/>
  <c r="G946" i="2"/>
  <c r="S945" i="2"/>
  <c r="R945" i="2"/>
  <c r="Q945" i="2"/>
  <c r="G945" i="2"/>
  <c r="S944" i="2"/>
  <c r="R944" i="2"/>
  <c r="Q944" i="2"/>
  <c r="G944" i="2"/>
  <c r="S943" i="2"/>
  <c r="R943" i="2"/>
  <c r="Q943" i="2"/>
  <c r="S942" i="2"/>
  <c r="R942" i="2"/>
  <c r="Q942" i="2"/>
  <c r="S941" i="2"/>
  <c r="R941" i="2"/>
  <c r="Q941" i="2"/>
  <c r="S940" i="2"/>
  <c r="R940" i="2"/>
  <c r="Q940" i="2"/>
  <c r="S939" i="2"/>
  <c r="R939" i="2"/>
  <c r="Q939" i="2"/>
  <c r="S938" i="2"/>
  <c r="R938" i="2"/>
  <c r="Q938" i="2"/>
  <c r="S937" i="2"/>
  <c r="R937" i="2"/>
  <c r="Q937" i="2"/>
  <c r="S936" i="2"/>
  <c r="R936" i="2"/>
  <c r="Q936" i="2"/>
  <c r="S935" i="2"/>
  <c r="R935" i="2"/>
  <c r="Q935" i="2"/>
  <c r="S934" i="2"/>
  <c r="R934" i="2"/>
  <c r="Q934" i="2"/>
  <c r="S933" i="2"/>
  <c r="R933" i="2"/>
  <c r="Q933" i="2"/>
  <c r="S932" i="2"/>
  <c r="R932" i="2"/>
  <c r="Q932" i="2"/>
  <c r="S931" i="2"/>
  <c r="R931" i="2"/>
  <c r="Q931" i="2"/>
  <c r="G931" i="2"/>
  <c r="S930" i="2"/>
  <c r="R930" i="2"/>
  <c r="Q930" i="2"/>
  <c r="S929" i="2"/>
  <c r="R929" i="2"/>
  <c r="Q929" i="2"/>
  <c r="I929" i="2"/>
  <c r="G929" i="2"/>
  <c r="S928" i="2"/>
  <c r="R928" i="2"/>
  <c r="Q928" i="2"/>
  <c r="S927" i="2"/>
  <c r="R927" i="2"/>
  <c r="Q927" i="2"/>
  <c r="S926" i="2"/>
  <c r="R926" i="2"/>
  <c r="Q926" i="2"/>
  <c r="S925" i="2"/>
  <c r="R925" i="2"/>
  <c r="Q925" i="2"/>
  <c r="S924" i="2"/>
  <c r="R924" i="2"/>
  <c r="Q924" i="2"/>
  <c r="S923" i="2"/>
  <c r="R923" i="2"/>
  <c r="Q923" i="2"/>
  <c r="G923" i="2"/>
  <c r="S922" i="2"/>
  <c r="R922" i="2"/>
  <c r="Q922" i="2"/>
  <c r="S921" i="2"/>
  <c r="R921" i="2"/>
  <c r="Q921" i="2"/>
  <c r="S920" i="2"/>
  <c r="R920" i="2"/>
  <c r="Q920" i="2"/>
  <c r="S919" i="2"/>
  <c r="R919" i="2"/>
  <c r="Q919" i="2"/>
  <c r="S918" i="2"/>
  <c r="R918" i="2"/>
  <c r="Q918" i="2"/>
  <c r="S917" i="2"/>
  <c r="R917" i="2"/>
  <c r="Q917" i="2"/>
  <c r="G917" i="2"/>
  <c r="S916" i="2"/>
  <c r="R916" i="2"/>
  <c r="Q916" i="2"/>
  <c r="S915" i="2"/>
  <c r="R915" i="2"/>
  <c r="Q915" i="2"/>
  <c r="G915" i="2"/>
  <c r="S914" i="2"/>
  <c r="R914" i="2"/>
  <c r="Q914" i="2"/>
  <c r="G914" i="2"/>
  <c r="S913" i="2"/>
  <c r="R913" i="2"/>
  <c r="Q913" i="2"/>
  <c r="G913" i="2"/>
  <c r="S912" i="2"/>
  <c r="R912" i="2"/>
  <c r="Q912" i="2"/>
  <c r="S911" i="2"/>
  <c r="R911" i="2"/>
  <c r="Q911" i="2"/>
  <c r="S910" i="2"/>
  <c r="R910" i="2"/>
  <c r="Q910" i="2"/>
  <c r="S909" i="2"/>
  <c r="R909" i="2"/>
  <c r="Q909" i="2"/>
  <c r="S908" i="2"/>
  <c r="R908" i="2"/>
  <c r="Q908" i="2"/>
  <c r="S907" i="2"/>
  <c r="R907" i="2"/>
  <c r="Q907" i="2"/>
  <c r="S906" i="2"/>
  <c r="R906" i="2"/>
  <c r="Q906" i="2"/>
  <c r="S905" i="2"/>
  <c r="R905" i="2"/>
  <c r="Q905" i="2"/>
  <c r="S904" i="2"/>
  <c r="R904" i="2"/>
  <c r="Q904" i="2"/>
  <c r="S903" i="2"/>
  <c r="R903" i="2"/>
  <c r="Q903" i="2"/>
  <c r="S902" i="2"/>
  <c r="R902" i="2"/>
  <c r="Q902" i="2"/>
  <c r="S901" i="2"/>
  <c r="R901" i="2"/>
  <c r="Q901" i="2"/>
  <c r="S900" i="2"/>
  <c r="R900" i="2"/>
  <c r="Q900" i="2"/>
  <c r="I900" i="2"/>
  <c r="G900" i="2"/>
  <c r="S899" i="2"/>
  <c r="R899" i="2"/>
  <c r="Q899" i="2"/>
  <c r="S898" i="2"/>
  <c r="R898" i="2"/>
  <c r="Q898" i="2"/>
  <c r="S897" i="2"/>
  <c r="R897" i="2"/>
  <c r="Q897" i="2"/>
  <c r="S896" i="2"/>
  <c r="R896" i="2"/>
  <c r="Q896" i="2"/>
  <c r="S895" i="2"/>
  <c r="R895" i="2"/>
  <c r="Q895" i="2"/>
  <c r="S894" i="2"/>
  <c r="R894" i="2"/>
  <c r="Q894" i="2"/>
  <c r="S893" i="2"/>
  <c r="R893" i="2"/>
  <c r="Q893" i="2"/>
  <c r="S892" i="2"/>
  <c r="R892" i="2"/>
  <c r="Q892" i="2"/>
  <c r="S891" i="2"/>
  <c r="R891" i="2"/>
  <c r="Q891" i="2"/>
  <c r="I891" i="2"/>
  <c r="G891" i="2"/>
  <c r="S890" i="2"/>
  <c r="R890" i="2"/>
  <c r="Q890" i="2"/>
  <c r="G890" i="2"/>
  <c r="S889" i="2"/>
  <c r="R889" i="2"/>
  <c r="Q889" i="2"/>
  <c r="S888" i="2"/>
  <c r="R888" i="2"/>
  <c r="Q888" i="2"/>
  <c r="G888" i="2"/>
  <c r="S887" i="2"/>
  <c r="R887" i="2"/>
  <c r="Q887" i="2"/>
  <c r="G887" i="2"/>
  <c r="S886" i="2"/>
  <c r="R886" i="2"/>
  <c r="Q886" i="2"/>
  <c r="S885" i="2"/>
  <c r="R885" i="2"/>
  <c r="Q885" i="2"/>
  <c r="S884" i="2"/>
  <c r="R884" i="2"/>
  <c r="Q884" i="2"/>
  <c r="S883" i="2"/>
  <c r="R883" i="2"/>
  <c r="Q883" i="2"/>
  <c r="G883" i="2"/>
  <c r="S882" i="2"/>
  <c r="R882" i="2"/>
  <c r="Q882" i="2"/>
  <c r="S881" i="2"/>
  <c r="R881" i="2"/>
  <c r="Q881" i="2"/>
  <c r="S880" i="2"/>
  <c r="R880" i="2"/>
  <c r="Q880" i="2"/>
  <c r="S879" i="2"/>
  <c r="R879" i="2"/>
  <c r="Q879" i="2"/>
  <c r="S878" i="2"/>
  <c r="R878" i="2"/>
  <c r="Q878" i="2"/>
  <c r="S877" i="2"/>
  <c r="R877" i="2"/>
  <c r="Q877" i="2"/>
  <c r="S876" i="2"/>
  <c r="R876" i="2"/>
  <c r="Q876" i="2"/>
  <c r="S875" i="2"/>
  <c r="R875" i="2"/>
  <c r="Q875" i="2"/>
  <c r="S874" i="2"/>
  <c r="R874" i="2"/>
  <c r="Q874" i="2"/>
  <c r="S873" i="2"/>
  <c r="R873" i="2"/>
  <c r="Q873" i="2"/>
  <c r="S872" i="2"/>
  <c r="R872" i="2"/>
  <c r="Q872" i="2"/>
  <c r="S871" i="2"/>
  <c r="R871" i="2"/>
  <c r="Q871" i="2"/>
  <c r="S870" i="2"/>
  <c r="R870" i="2"/>
  <c r="Q870" i="2"/>
  <c r="S869" i="2"/>
  <c r="R869" i="2"/>
  <c r="Q869" i="2"/>
  <c r="G869" i="2"/>
  <c r="S868" i="2"/>
  <c r="R868" i="2"/>
  <c r="Q868" i="2"/>
  <c r="S867" i="2"/>
  <c r="R867" i="2"/>
  <c r="Q867" i="2"/>
  <c r="S866" i="2"/>
  <c r="R866" i="2"/>
  <c r="Q866" i="2"/>
  <c r="S865" i="2"/>
  <c r="R865" i="2"/>
  <c r="Q865" i="2"/>
  <c r="S864" i="2"/>
  <c r="R864" i="2"/>
  <c r="Q864" i="2"/>
  <c r="S863" i="2"/>
  <c r="R863" i="2"/>
  <c r="Q863" i="2"/>
  <c r="S862" i="2"/>
  <c r="R862" i="2"/>
  <c r="Q862" i="2"/>
  <c r="S861" i="2"/>
  <c r="R861" i="2"/>
  <c r="Q861" i="2"/>
  <c r="S860" i="2"/>
  <c r="R860" i="2"/>
  <c r="Q860" i="2"/>
  <c r="S859" i="2"/>
  <c r="R859" i="2"/>
  <c r="Q859" i="2"/>
  <c r="S858" i="2"/>
  <c r="R858" i="2"/>
  <c r="Q858" i="2"/>
  <c r="S857" i="2"/>
  <c r="R857" i="2"/>
  <c r="Q857" i="2"/>
  <c r="S856" i="2"/>
  <c r="R856" i="2"/>
  <c r="Q856" i="2"/>
  <c r="S855" i="2"/>
  <c r="R855" i="2"/>
  <c r="Q855" i="2"/>
  <c r="S854" i="2"/>
  <c r="R854" i="2"/>
  <c r="Q854" i="2"/>
  <c r="G854" i="2"/>
  <c r="S853" i="2"/>
  <c r="R853" i="2"/>
  <c r="Q853" i="2"/>
  <c r="S852" i="2"/>
  <c r="R852" i="2"/>
  <c r="Q852" i="2"/>
  <c r="G852" i="2"/>
  <c r="S851" i="2"/>
  <c r="R851" i="2"/>
  <c r="Q851" i="2"/>
  <c r="S850" i="2"/>
  <c r="R850" i="2"/>
  <c r="Q850" i="2"/>
  <c r="S849" i="2"/>
  <c r="R849" i="2"/>
  <c r="Q849" i="2"/>
  <c r="S848" i="2"/>
  <c r="R848" i="2"/>
  <c r="Q848" i="2"/>
  <c r="S847" i="2"/>
  <c r="R847" i="2"/>
  <c r="Q847" i="2"/>
  <c r="S846" i="2"/>
  <c r="R846" i="2"/>
  <c r="Q846" i="2"/>
  <c r="S845" i="2"/>
  <c r="R845" i="2"/>
  <c r="Q845" i="2"/>
  <c r="S844" i="2"/>
  <c r="R844" i="2"/>
  <c r="Q844" i="2"/>
  <c r="S843" i="2"/>
  <c r="R843" i="2"/>
  <c r="Q843" i="2"/>
  <c r="S842" i="2"/>
  <c r="R842" i="2"/>
  <c r="Q842" i="2"/>
  <c r="G842" i="2"/>
  <c r="S841" i="2"/>
  <c r="R841" i="2"/>
  <c r="Q841" i="2"/>
  <c r="S840" i="2"/>
  <c r="R840" i="2"/>
  <c r="Q840" i="2"/>
  <c r="S839" i="2"/>
  <c r="R839" i="2"/>
  <c r="Q839" i="2"/>
  <c r="S838" i="2"/>
  <c r="R838" i="2"/>
  <c r="Q838" i="2"/>
  <c r="S837" i="2"/>
  <c r="R837" i="2"/>
  <c r="Q837" i="2"/>
  <c r="S836" i="2"/>
  <c r="R836" i="2"/>
  <c r="Q836" i="2"/>
  <c r="S835" i="2"/>
  <c r="R835" i="2"/>
  <c r="Q835" i="2"/>
  <c r="S834" i="2"/>
  <c r="R834" i="2"/>
  <c r="Q834" i="2"/>
  <c r="S833" i="2"/>
  <c r="R833" i="2"/>
  <c r="Q833" i="2"/>
  <c r="S832" i="2"/>
  <c r="R832" i="2"/>
  <c r="Q832" i="2"/>
  <c r="S831" i="2"/>
  <c r="R831" i="2"/>
  <c r="Q831" i="2"/>
  <c r="S830" i="2"/>
  <c r="R830" i="2"/>
  <c r="Q830" i="2"/>
  <c r="S829" i="2"/>
  <c r="R829" i="2"/>
  <c r="Q829" i="2"/>
  <c r="S828" i="2"/>
  <c r="R828" i="2"/>
  <c r="Q828" i="2"/>
  <c r="S827" i="2"/>
  <c r="R827" i="2"/>
  <c r="Q827" i="2"/>
  <c r="S826" i="2"/>
  <c r="R826" i="2"/>
  <c r="Q826" i="2"/>
  <c r="G826" i="2"/>
  <c r="S825" i="2"/>
  <c r="R825" i="2"/>
  <c r="Q825" i="2"/>
  <c r="G825" i="2"/>
  <c r="S824" i="2"/>
  <c r="R824" i="2"/>
  <c r="Q824" i="2"/>
  <c r="I824" i="2"/>
  <c r="G824" i="2"/>
  <c r="S823" i="2"/>
  <c r="R823" i="2"/>
  <c r="Q823" i="2"/>
  <c r="G823" i="2"/>
  <c r="S822" i="2"/>
  <c r="R822" i="2"/>
  <c r="Q822" i="2"/>
  <c r="G822" i="2"/>
  <c r="S821" i="2"/>
  <c r="R821" i="2"/>
  <c r="Q821" i="2"/>
  <c r="G821" i="2"/>
  <c r="S820" i="2"/>
  <c r="R820" i="2"/>
  <c r="Q820" i="2"/>
  <c r="G820" i="2"/>
  <c r="S819" i="2"/>
  <c r="R819" i="2"/>
  <c r="Q819" i="2"/>
  <c r="I819" i="2"/>
  <c r="G819" i="2"/>
  <c r="S818" i="2"/>
  <c r="R818" i="2"/>
  <c r="Q818" i="2"/>
  <c r="G818" i="2"/>
  <c r="S817" i="2"/>
  <c r="R817" i="2"/>
  <c r="Q817" i="2"/>
  <c r="G817" i="2"/>
  <c r="S816" i="2"/>
  <c r="R816" i="2"/>
  <c r="Q816" i="2"/>
  <c r="S815" i="2"/>
  <c r="R815" i="2"/>
  <c r="Q815" i="2"/>
  <c r="S814" i="2"/>
  <c r="R814" i="2"/>
  <c r="Q814" i="2"/>
  <c r="G814" i="2"/>
  <c r="S813" i="2"/>
  <c r="R813" i="2"/>
  <c r="Q813" i="2"/>
  <c r="S812" i="2"/>
  <c r="R812" i="2"/>
  <c r="Q812" i="2"/>
  <c r="S811" i="2"/>
  <c r="R811" i="2"/>
  <c r="Q811" i="2"/>
  <c r="S810" i="2"/>
  <c r="R810" i="2"/>
  <c r="Q810" i="2"/>
  <c r="S809" i="2"/>
  <c r="R809" i="2"/>
  <c r="Q809" i="2"/>
  <c r="S808" i="2"/>
  <c r="R808" i="2"/>
  <c r="Q808" i="2"/>
  <c r="S807" i="2"/>
  <c r="R807" i="2"/>
  <c r="Q807" i="2"/>
  <c r="S806" i="2"/>
  <c r="R806" i="2"/>
  <c r="Q806" i="2"/>
  <c r="S805" i="2"/>
  <c r="R805" i="2"/>
  <c r="Q805" i="2"/>
  <c r="S804" i="2"/>
  <c r="R804" i="2"/>
  <c r="Q804" i="2"/>
  <c r="S803" i="2"/>
  <c r="R803" i="2"/>
  <c r="Q803" i="2"/>
  <c r="S802" i="2"/>
  <c r="R802" i="2"/>
  <c r="Q802" i="2"/>
  <c r="S801" i="2"/>
  <c r="R801" i="2"/>
  <c r="Q801" i="2"/>
  <c r="S800" i="2"/>
  <c r="R800" i="2"/>
  <c r="Q800" i="2"/>
  <c r="S799" i="2"/>
  <c r="R799" i="2"/>
  <c r="Q799" i="2"/>
  <c r="S798" i="2"/>
  <c r="R798" i="2"/>
  <c r="Q798" i="2"/>
  <c r="S797" i="2"/>
  <c r="R797" i="2"/>
  <c r="Q797" i="2"/>
  <c r="S796" i="2"/>
  <c r="R796" i="2"/>
  <c r="Q796" i="2"/>
  <c r="S795" i="2"/>
  <c r="R795" i="2"/>
  <c r="Q795" i="2"/>
  <c r="S794" i="2"/>
  <c r="R794" i="2"/>
  <c r="Q794" i="2"/>
  <c r="S793" i="2"/>
  <c r="R793" i="2"/>
  <c r="Q793" i="2"/>
  <c r="S792" i="2"/>
  <c r="R792" i="2"/>
  <c r="Q792" i="2"/>
  <c r="S791" i="2"/>
  <c r="R791" i="2"/>
  <c r="Q791" i="2"/>
  <c r="G791" i="2"/>
  <c r="S790" i="2"/>
  <c r="R790" i="2"/>
  <c r="Q790" i="2"/>
  <c r="G790" i="2"/>
  <c r="S789" i="2"/>
  <c r="R789" i="2"/>
  <c r="Q789" i="2"/>
  <c r="S788" i="2"/>
  <c r="R788" i="2"/>
  <c r="Q788" i="2"/>
  <c r="S787" i="2"/>
  <c r="R787" i="2"/>
  <c r="Q787" i="2"/>
  <c r="G787" i="2"/>
  <c r="S786" i="2"/>
  <c r="R786" i="2"/>
  <c r="Q786" i="2"/>
  <c r="S785" i="2"/>
  <c r="R785" i="2"/>
  <c r="Q785" i="2"/>
  <c r="S784" i="2"/>
  <c r="R784" i="2"/>
  <c r="Q784" i="2"/>
  <c r="S783" i="2"/>
  <c r="R783" i="2"/>
  <c r="Q783" i="2"/>
  <c r="G783" i="2"/>
  <c r="S782" i="2"/>
  <c r="R782" i="2"/>
  <c r="Q782" i="2"/>
  <c r="S781" i="2"/>
  <c r="R781" i="2"/>
  <c r="Q781" i="2"/>
  <c r="G781" i="2"/>
  <c r="S780" i="2"/>
  <c r="R780" i="2"/>
  <c r="Q780" i="2"/>
  <c r="S779" i="2"/>
  <c r="R779" i="2"/>
  <c r="Q779" i="2"/>
  <c r="S778" i="2"/>
  <c r="R778" i="2"/>
  <c r="Q778" i="2"/>
  <c r="S777" i="2"/>
  <c r="R777" i="2"/>
  <c r="Q777" i="2"/>
  <c r="S776" i="2"/>
  <c r="R776" i="2"/>
  <c r="Q776" i="2"/>
  <c r="S775" i="2"/>
  <c r="R775" i="2"/>
  <c r="Q775" i="2"/>
  <c r="G775" i="2"/>
  <c r="S774" i="2"/>
  <c r="R774" i="2"/>
  <c r="Q774" i="2"/>
  <c r="G774" i="2"/>
  <c r="S773" i="2"/>
  <c r="R773" i="2"/>
  <c r="Q773" i="2"/>
  <c r="S772" i="2"/>
  <c r="R772" i="2"/>
  <c r="Q772" i="2"/>
  <c r="S771" i="2"/>
  <c r="R771" i="2"/>
  <c r="Q771" i="2"/>
  <c r="G771" i="2"/>
  <c r="S770" i="2"/>
  <c r="R770" i="2"/>
  <c r="Q770" i="2"/>
  <c r="S769" i="2"/>
  <c r="R769" i="2"/>
  <c r="Q769" i="2"/>
  <c r="S768" i="2"/>
  <c r="R768" i="2"/>
  <c r="Q768" i="2"/>
  <c r="S767" i="2"/>
  <c r="R767" i="2"/>
  <c r="Q767" i="2"/>
  <c r="G767" i="2"/>
  <c r="S766" i="2"/>
  <c r="R766" i="2"/>
  <c r="Q766" i="2"/>
  <c r="S765" i="2"/>
  <c r="R765" i="2"/>
  <c r="Q765" i="2"/>
  <c r="I765" i="2"/>
  <c r="G765" i="2"/>
  <c r="S764" i="2"/>
  <c r="R764" i="2"/>
  <c r="Q764" i="2"/>
  <c r="G764" i="2"/>
  <c r="S763" i="2"/>
  <c r="R763" i="2"/>
  <c r="Q763" i="2"/>
  <c r="G763" i="2"/>
  <c r="S762" i="2"/>
  <c r="R762" i="2"/>
  <c r="Q762" i="2"/>
  <c r="S761" i="2"/>
  <c r="R761" i="2"/>
  <c r="Q761" i="2"/>
  <c r="S760" i="2"/>
  <c r="R760" i="2"/>
  <c r="Q760" i="2"/>
  <c r="S759" i="2"/>
  <c r="R759" i="2"/>
  <c r="Q759" i="2"/>
  <c r="S758" i="2"/>
  <c r="R758" i="2"/>
  <c r="Q758" i="2"/>
  <c r="S757" i="2"/>
  <c r="R757" i="2"/>
  <c r="Q757" i="2"/>
  <c r="S756" i="2"/>
  <c r="R756" i="2"/>
  <c r="Q756" i="2"/>
  <c r="S755" i="2"/>
  <c r="R755" i="2"/>
  <c r="Q755" i="2"/>
  <c r="S754" i="2"/>
  <c r="R754" i="2"/>
  <c r="Q754" i="2"/>
  <c r="S753" i="2"/>
  <c r="R753" i="2"/>
  <c r="Q753" i="2"/>
  <c r="G753" i="2"/>
  <c r="S752" i="2"/>
  <c r="R752" i="2"/>
  <c r="Q752" i="2"/>
  <c r="S751" i="2"/>
  <c r="R751" i="2"/>
  <c r="Q751" i="2"/>
  <c r="S750" i="2"/>
  <c r="R750" i="2"/>
  <c r="Q750" i="2"/>
  <c r="G750" i="2"/>
  <c r="S749" i="2"/>
  <c r="R749" i="2"/>
  <c r="Q749" i="2"/>
  <c r="S748" i="2"/>
  <c r="R748" i="2"/>
  <c r="Q748" i="2"/>
  <c r="S747" i="2"/>
  <c r="R747" i="2"/>
  <c r="Q747" i="2"/>
  <c r="G747" i="2"/>
  <c r="S746" i="2"/>
  <c r="R746" i="2"/>
  <c r="Q746" i="2"/>
  <c r="S745" i="2"/>
  <c r="R745" i="2"/>
  <c r="Q745" i="2"/>
  <c r="S744" i="2"/>
  <c r="R744" i="2"/>
  <c r="Q744" i="2"/>
  <c r="G744" i="2"/>
  <c r="S743" i="2"/>
  <c r="R743" i="2"/>
  <c r="Q743" i="2"/>
  <c r="I743" i="2"/>
  <c r="G743" i="2"/>
  <c r="S742" i="2"/>
  <c r="R742" i="2"/>
  <c r="Q742" i="2"/>
  <c r="I742" i="2"/>
  <c r="G742" i="2"/>
  <c r="S741" i="2"/>
  <c r="R741" i="2"/>
  <c r="Q741" i="2"/>
  <c r="S740" i="2"/>
  <c r="R740" i="2"/>
  <c r="Q740" i="2"/>
  <c r="S739" i="2"/>
  <c r="R739" i="2"/>
  <c r="Q739" i="2"/>
  <c r="S738" i="2"/>
  <c r="R738" i="2"/>
  <c r="Q738" i="2"/>
  <c r="G738" i="2"/>
  <c r="S737" i="2"/>
  <c r="R737" i="2"/>
  <c r="Q737" i="2"/>
  <c r="S736" i="2"/>
  <c r="R736" i="2"/>
  <c r="Q736" i="2"/>
  <c r="G736" i="2"/>
  <c r="S735" i="2"/>
  <c r="R735" i="2"/>
  <c r="Q735" i="2"/>
  <c r="S734" i="2"/>
  <c r="R734" i="2"/>
  <c r="Q734" i="2"/>
  <c r="S733" i="2"/>
  <c r="R733" i="2"/>
  <c r="Q733" i="2"/>
  <c r="G733" i="2"/>
  <c r="S732" i="2"/>
  <c r="R732" i="2"/>
  <c r="Q732" i="2"/>
  <c r="S731" i="2"/>
  <c r="R731" i="2"/>
  <c r="Q731" i="2"/>
  <c r="G731" i="2"/>
  <c r="S730" i="2"/>
  <c r="R730" i="2"/>
  <c r="S729" i="2"/>
  <c r="R729" i="2"/>
  <c r="Q729" i="2"/>
  <c r="G729" i="2"/>
  <c r="S728" i="2"/>
  <c r="R728" i="2"/>
  <c r="Q728" i="2"/>
  <c r="G728" i="2"/>
  <c r="S727" i="2"/>
  <c r="R727" i="2"/>
  <c r="Q727" i="2"/>
  <c r="S726" i="2"/>
  <c r="R726" i="2"/>
  <c r="Q726" i="2"/>
  <c r="S725" i="2"/>
  <c r="R725" i="2"/>
  <c r="Q725" i="2"/>
  <c r="S724" i="2"/>
  <c r="R724" i="2"/>
  <c r="Q724" i="2"/>
  <c r="S723" i="2"/>
  <c r="R723" i="2"/>
  <c r="Q723" i="2"/>
  <c r="G723" i="2"/>
  <c r="S722" i="2"/>
  <c r="R722" i="2"/>
  <c r="Q722" i="2"/>
  <c r="S721" i="2"/>
  <c r="R721" i="2"/>
  <c r="Q721" i="2"/>
  <c r="S720" i="2"/>
  <c r="R720" i="2"/>
  <c r="Q720" i="2"/>
  <c r="I720" i="2"/>
  <c r="G720" i="2"/>
  <c r="S719" i="2"/>
  <c r="R719" i="2"/>
  <c r="Q719" i="2"/>
  <c r="I719" i="2"/>
  <c r="G719" i="2"/>
  <c r="S718" i="2"/>
  <c r="R718" i="2"/>
  <c r="Q718" i="2"/>
  <c r="S717" i="2"/>
  <c r="R717" i="2"/>
  <c r="Q717" i="2"/>
  <c r="I717" i="2"/>
  <c r="G717" i="2"/>
  <c r="S716" i="2"/>
  <c r="R716" i="2"/>
  <c r="Q716" i="2"/>
  <c r="S715" i="2"/>
  <c r="R715" i="2"/>
  <c r="Q715" i="2"/>
  <c r="G715" i="2"/>
  <c r="S714" i="2"/>
  <c r="R714" i="2"/>
  <c r="Q714" i="2"/>
  <c r="G714" i="2"/>
  <c r="S713" i="2"/>
  <c r="R713" i="2"/>
  <c r="Q713" i="2"/>
  <c r="S712" i="2"/>
  <c r="R712" i="2"/>
  <c r="Q712" i="2"/>
  <c r="S711" i="2"/>
  <c r="R711" i="2"/>
  <c r="Q711" i="2"/>
  <c r="S710" i="2"/>
  <c r="R710" i="2"/>
  <c r="Q710" i="2"/>
  <c r="S709" i="2"/>
  <c r="R709" i="2"/>
  <c r="Q709" i="2"/>
  <c r="S708" i="2"/>
  <c r="R708" i="2"/>
  <c r="Q708" i="2"/>
  <c r="G708" i="2"/>
  <c r="S707" i="2"/>
  <c r="R707" i="2"/>
  <c r="Q707" i="2"/>
  <c r="S706" i="2"/>
  <c r="R706" i="2"/>
  <c r="Q706" i="2"/>
  <c r="S705" i="2"/>
  <c r="R705" i="2"/>
  <c r="Q705" i="2"/>
  <c r="S704" i="2"/>
  <c r="R704" i="2"/>
  <c r="Q704" i="2"/>
  <c r="S703" i="2"/>
  <c r="R703" i="2"/>
  <c r="Q703" i="2"/>
  <c r="S702" i="2"/>
  <c r="R702" i="2"/>
  <c r="Q702" i="2"/>
  <c r="S701" i="2"/>
  <c r="R701" i="2"/>
  <c r="Q701" i="2"/>
  <c r="S700" i="2"/>
  <c r="R700" i="2"/>
  <c r="Q700" i="2"/>
  <c r="G700" i="2"/>
  <c r="S699" i="2"/>
  <c r="R699" i="2"/>
  <c r="Q699" i="2"/>
  <c r="G699" i="2"/>
  <c r="S698" i="2"/>
  <c r="R698" i="2"/>
  <c r="Q698" i="2"/>
  <c r="S697" i="2"/>
  <c r="R697" i="2"/>
  <c r="Q697" i="2"/>
  <c r="S696" i="2"/>
  <c r="R696" i="2"/>
  <c r="Q696" i="2"/>
  <c r="S695" i="2"/>
  <c r="R695" i="2"/>
  <c r="Q695" i="2"/>
  <c r="S694" i="2"/>
  <c r="R694" i="2"/>
  <c r="Q694" i="2"/>
  <c r="S693" i="2"/>
  <c r="R693" i="2"/>
  <c r="Q693" i="2"/>
  <c r="S692" i="2"/>
  <c r="R692" i="2"/>
  <c r="Q692" i="2"/>
  <c r="S691" i="2"/>
  <c r="R691" i="2"/>
  <c r="Q691" i="2"/>
  <c r="S690" i="2"/>
  <c r="R690" i="2"/>
  <c r="Q690" i="2"/>
  <c r="S689" i="2"/>
  <c r="R689" i="2"/>
  <c r="Q689" i="2"/>
  <c r="S688" i="2"/>
  <c r="R688" i="2"/>
  <c r="Q688" i="2"/>
  <c r="S687" i="2"/>
  <c r="R687" i="2"/>
  <c r="Q687" i="2"/>
  <c r="G687" i="2"/>
  <c r="S686" i="2"/>
  <c r="R686" i="2"/>
  <c r="Q686" i="2"/>
  <c r="S685" i="2"/>
  <c r="R685" i="2"/>
  <c r="Q685" i="2"/>
  <c r="S684" i="2"/>
  <c r="R684" i="2"/>
  <c r="Q684" i="2"/>
  <c r="S683" i="2"/>
  <c r="R683" i="2"/>
  <c r="Q683" i="2"/>
  <c r="G683" i="2"/>
  <c r="S682" i="2"/>
  <c r="R682" i="2"/>
  <c r="Q682" i="2"/>
  <c r="G682" i="2"/>
  <c r="S681" i="2"/>
  <c r="R681" i="2"/>
  <c r="Q681" i="2"/>
  <c r="I681" i="2"/>
  <c r="G681" i="2"/>
  <c r="S680" i="2"/>
  <c r="R680" i="2"/>
  <c r="Q680" i="2"/>
  <c r="G680" i="2"/>
  <c r="S678" i="2"/>
  <c r="R678" i="2"/>
  <c r="Q678" i="2"/>
  <c r="G678" i="2"/>
  <c r="S677" i="2"/>
  <c r="R677" i="2"/>
  <c r="Q677" i="2"/>
  <c r="G677" i="2"/>
  <c r="S676" i="2"/>
  <c r="R676" i="2"/>
  <c r="Q676" i="2"/>
  <c r="G676" i="2"/>
  <c r="S675" i="2"/>
  <c r="R675" i="2"/>
  <c r="Q675" i="2"/>
  <c r="G675" i="2"/>
  <c r="S674" i="2"/>
  <c r="R674" i="2"/>
  <c r="Q674" i="2"/>
  <c r="S673" i="2"/>
  <c r="R673" i="2"/>
  <c r="Q673" i="2"/>
  <c r="S672" i="2"/>
  <c r="R672" i="2"/>
  <c r="Q672" i="2"/>
  <c r="S671" i="2"/>
  <c r="R671" i="2"/>
  <c r="Q671" i="2"/>
  <c r="G671" i="2"/>
  <c r="S670" i="2"/>
  <c r="R670" i="2"/>
  <c r="Q670" i="2"/>
  <c r="G670" i="2"/>
  <c r="S669" i="2"/>
  <c r="R669" i="2"/>
  <c r="Q669" i="2"/>
  <c r="I669" i="2"/>
  <c r="G669" i="2"/>
  <c r="S668" i="2"/>
  <c r="R668" i="2"/>
  <c r="Q668" i="2"/>
  <c r="S667" i="2"/>
  <c r="R667" i="2"/>
  <c r="Q667" i="2"/>
  <c r="G667" i="2"/>
  <c r="S666" i="2"/>
  <c r="R666" i="2"/>
  <c r="Q666" i="2"/>
  <c r="S665" i="2"/>
  <c r="R665" i="2"/>
  <c r="Q665" i="2"/>
  <c r="G665" i="2"/>
  <c r="S664" i="2"/>
  <c r="R664" i="2"/>
  <c r="Q664" i="2"/>
  <c r="M664" i="2"/>
  <c r="S663" i="2"/>
  <c r="R663" i="2"/>
  <c r="Q663" i="2"/>
  <c r="S662" i="2"/>
  <c r="R662" i="2"/>
  <c r="Q662" i="2"/>
  <c r="S661" i="2"/>
  <c r="R661" i="2"/>
  <c r="Q661" i="2"/>
  <c r="S660" i="2"/>
  <c r="R660" i="2"/>
  <c r="Q660" i="2"/>
  <c r="S659" i="2"/>
  <c r="R659" i="2"/>
  <c r="Q659" i="2"/>
  <c r="S658" i="2"/>
  <c r="R658" i="2"/>
  <c r="Q658" i="2"/>
  <c r="S657" i="2"/>
  <c r="R657" i="2"/>
  <c r="Q657" i="2"/>
  <c r="I657" i="2"/>
  <c r="G657" i="2"/>
  <c r="S656" i="2"/>
  <c r="R656" i="2"/>
  <c r="Q656" i="2"/>
  <c r="S655" i="2"/>
  <c r="R655" i="2"/>
  <c r="Q655" i="2"/>
  <c r="I655" i="2"/>
  <c r="G655" i="2"/>
  <c r="S654" i="2"/>
  <c r="R654" i="2"/>
  <c r="Q654" i="2"/>
  <c r="S653" i="2"/>
  <c r="R653" i="2"/>
  <c r="Q653" i="2"/>
  <c r="S652" i="2"/>
  <c r="R652" i="2"/>
  <c r="Q652" i="2"/>
  <c r="S651" i="2"/>
  <c r="R651" i="2"/>
  <c r="Q651" i="2"/>
  <c r="S650" i="2"/>
  <c r="R650" i="2"/>
  <c r="Q650" i="2"/>
  <c r="S649" i="2"/>
  <c r="R649" i="2"/>
  <c r="Q649" i="2"/>
  <c r="S648" i="2"/>
  <c r="R648" i="2"/>
  <c r="Q648" i="2"/>
  <c r="S647" i="2"/>
  <c r="R647" i="2"/>
  <c r="Q647" i="2"/>
  <c r="S646" i="2"/>
  <c r="R646" i="2"/>
  <c r="Q646" i="2"/>
  <c r="S645" i="2"/>
  <c r="R645" i="2"/>
  <c r="Q645" i="2"/>
  <c r="S644" i="2"/>
  <c r="R644" i="2"/>
  <c r="Q644" i="2"/>
  <c r="I644" i="2"/>
  <c r="G644" i="2"/>
  <c r="S643" i="2"/>
  <c r="R643" i="2"/>
  <c r="Q643" i="2"/>
  <c r="G643" i="2"/>
  <c r="S642" i="2"/>
  <c r="R642" i="2"/>
  <c r="Q642" i="2"/>
  <c r="S641" i="2"/>
  <c r="R641" i="2"/>
  <c r="Q641" i="2"/>
  <c r="S640" i="2"/>
  <c r="R640" i="2"/>
  <c r="Q640" i="2"/>
  <c r="S639" i="2"/>
  <c r="R639" i="2"/>
  <c r="Q639" i="2"/>
  <c r="S638" i="2"/>
  <c r="R638" i="2"/>
  <c r="Q638" i="2"/>
  <c r="S637" i="2"/>
  <c r="R637" i="2"/>
  <c r="Q637" i="2"/>
  <c r="S636" i="2"/>
  <c r="R636" i="2"/>
  <c r="Q636" i="2"/>
  <c r="S635" i="2"/>
  <c r="R635" i="2"/>
  <c r="Q635" i="2"/>
  <c r="G635" i="2"/>
  <c r="S634" i="2"/>
  <c r="R634" i="2"/>
  <c r="Q634" i="2"/>
  <c r="I634" i="2"/>
  <c r="G634" i="2"/>
  <c r="S633" i="2"/>
  <c r="R633" i="2"/>
  <c r="Q633" i="2"/>
  <c r="G633" i="2"/>
  <c r="S632" i="2"/>
  <c r="R632" i="2"/>
  <c r="Q632" i="2"/>
  <c r="G632" i="2"/>
  <c r="S631" i="2"/>
  <c r="R631" i="2"/>
  <c r="Q631" i="2"/>
  <c r="G631" i="2"/>
  <c r="S630" i="2"/>
  <c r="R630" i="2"/>
  <c r="Q630" i="2"/>
  <c r="S629" i="2"/>
  <c r="R629" i="2"/>
  <c r="Q629" i="2"/>
  <c r="G629" i="2"/>
  <c r="S628" i="2"/>
  <c r="R628" i="2"/>
  <c r="Q628" i="2"/>
  <c r="G628" i="2"/>
  <c r="S627" i="2"/>
  <c r="R627" i="2"/>
  <c r="Q627" i="2"/>
  <c r="G627" i="2"/>
  <c r="S626" i="2"/>
  <c r="R626" i="2"/>
  <c r="Q626" i="2"/>
  <c r="G626" i="2"/>
  <c r="S625" i="2"/>
  <c r="R625" i="2"/>
  <c r="Q625" i="2"/>
  <c r="G625" i="2"/>
  <c r="S624" i="2"/>
  <c r="R624" i="2"/>
  <c r="Q624" i="2"/>
  <c r="G624" i="2"/>
  <c r="S623" i="2"/>
  <c r="R623" i="2"/>
  <c r="Q623" i="2"/>
  <c r="S622" i="2"/>
  <c r="R622" i="2"/>
  <c r="Q622" i="2"/>
  <c r="G622" i="2"/>
  <c r="S621" i="2"/>
  <c r="R621" i="2"/>
  <c r="Q621" i="2"/>
  <c r="G621" i="2"/>
  <c r="S620" i="2"/>
  <c r="R620" i="2"/>
  <c r="Q620" i="2"/>
  <c r="G620" i="2"/>
  <c r="S619" i="2"/>
  <c r="R619" i="2"/>
  <c r="Q619" i="2"/>
  <c r="G619" i="2"/>
  <c r="S618" i="2"/>
  <c r="R618" i="2"/>
  <c r="Q618" i="2"/>
  <c r="G618" i="2"/>
  <c r="S617" i="2"/>
  <c r="R617" i="2"/>
  <c r="Q617" i="2"/>
  <c r="G617" i="2"/>
  <c r="S616" i="2"/>
  <c r="R616" i="2"/>
  <c r="Q616" i="2"/>
  <c r="G616" i="2"/>
  <c r="S615" i="2"/>
  <c r="R615" i="2"/>
  <c r="Q615" i="2"/>
  <c r="S614" i="2"/>
  <c r="R614" i="2"/>
  <c r="Q614" i="2"/>
  <c r="G614" i="2"/>
  <c r="S613" i="2"/>
  <c r="R613" i="2"/>
  <c r="Q613" i="2"/>
  <c r="S612" i="2"/>
  <c r="R612" i="2"/>
  <c r="Q612" i="2"/>
  <c r="G612" i="2"/>
  <c r="S611" i="2"/>
  <c r="R611" i="2"/>
  <c r="Q611" i="2"/>
  <c r="G611" i="2"/>
  <c r="S610" i="2"/>
  <c r="R610" i="2"/>
  <c r="Q610" i="2"/>
  <c r="G610" i="2"/>
  <c r="S609" i="2"/>
  <c r="R609" i="2"/>
  <c r="Q609" i="2"/>
  <c r="S608" i="2"/>
  <c r="R608" i="2"/>
  <c r="Q608" i="2"/>
  <c r="G608" i="2"/>
  <c r="S607" i="2"/>
  <c r="R607" i="2"/>
  <c r="Q607" i="2"/>
  <c r="G607" i="2"/>
  <c r="S606" i="2"/>
  <c r="R606" i="2"/>
  <c r="Q606" i="2"/>
  <c r="G606" i="2"/>
  <c r="S605" i="2"/>
  <c r="R605" i="2"/>
  <c r="Q605" i="2"/>
  <c r="S604" i="2"/>
  <c r="R604" i="2"/>
  <c r="Q604" i="2"/>
  <c r="G604" i="2"/>
  <c r="S603" i="2"/>
  <c r="R603" i="2"/>
  <c r="Q603" i="2"/>
  <c r="G603" i="2"/>
  <c r="S602" i="2"/>
  <c r="R602" i="2"/>
  <c r="Q602" i="2"/>
  <c r="S601" i="2"/>
  <c r="R601" i="2"/>
  <c r="Q601" i="2"/>
  <c r="S600" i="2"/>
  <c r="R600" i="2"/>
  <c r="Q600" i="2"/>
  <c r="S599" i="2"/>
  <c r="R599" i="2"/>
  <c r="Q599" i="2"/>
  <c r="S598" i="2"/>
  <c r="R598" i="2"/>
  <c r="Q598" i="2"/>
  <c r="S597" i="2"/>
  <c r="R597" i="2"/>
  <c r="Q597" i="2"/>
  <c r="S596" i="2"/>
  <c r="R596" i="2"/>
  <c r="Q596" i="2"/>
  <c r="S595" i="2"/>
  <c r="R595" i="2"/>
  <c r="Q595" i="2"/>
  <c r="G595" i="2"/>
  <c r="S594" i="2"/>
  <c r="R594" i="2"/>
  <c r="Q594" i="2"/>
  <c r="G594" i="2"/>
  <c r="S593" i="2"/>
  <c r="R593" i="2"/>
  <c r="Q593" i="2"/>
  <c r="S592" i="2"/>
  <c r="R592" i="2"/>
  <c r="Q592" i="2"/>
  <c r="S591" i="2"/>
  <c r="R591" i="2"/>
  <c r="Q591" i="2"/>
  <c r="S590" i="2"/>
  <c r="R590" i="2"/>
  <c r="Q590" i="2"/>
  <c r="G590" i="2"/>
  <c r="S589" i="2"/>
  <c r="R589" i="2"/>
  <c r="Q589" i="2"/>
  <c r="G589" i="2"/>
  <c r="S588" i="2"/>
  <c r="R588" i="2"/>
  <c r="Q588" i="2"/>
  <c r="G588" i="2"/>
  <c r="S587" i="2"/>
  <c r="R587" i="2"/>
  <c r="Q587" i="2"/>
  <c r="G587" i="2"/>
  <c r="S586" i="2"/>
  <c r="R586" i="2"/>
  <c r="Q586" i="2"/>
  <c r="G586" i="2"/>
  <c r="S585" i="2"/>
  <c r="R585" i="2"/>
  <c r="Q585" i="2"/>
  <c r="G585" i="2"/>
  <c r="S584" i="2"/>
  <c r="R584" i="2"/>
  <c r="Q584" i="2"/>
  <c r="G584" i="2"/>
  <c r="S583" i="2"/>
  <c r="R583" i="2"/>
  <c r="Q583" i="2"/>
  <c r="G583" i="2"/>
  <c r="S582" i="2"/>
  <c r="R582" i="2"/>
  <c r="Q582" i="2"/>
  <c r="G582" i="2"/>
  <c r="S581" i="2"/>
  <c r="R581" i="2"/>
  <c r="Q581" i="2"/>
  <c r="G581" i="2"/>
  <c r="S580" i="2"/>
  <c r="R580" i="2"/>
  <c r="Q580" i="2"/>
  <c r="G580" i="2"/>
  <c r="S579" i="2"/>
  <c r="R579" i="2"/>
  <c r="Q579" i="2"/>
  <c r="G579" i="2"/>
  <c r="S578" i="2"/>
  <c r="R578" i="2"/>
  <c r="Q578" i="2"/>
  <c r="G578" i="2"/>
  <c r="S577" i="2"/>
  <c r="R577" i="2"/>
  <c r="Q577" i="2"/>
  <c r="G577" i="2"/>
  <c r="S576" i="2"/>
  <c r="R576" i="2"/>
  <c r="Q576" i="2"/>
  <c r="G576" i="2"/>
  <c r="S575" i="2"/>
  <c r="R575" i="2"/>
  <c r="Q575" i="2"/>
  <c r="G575" i="2"/>
  <c r="S574" i="2"/>
  <c r="R574" i="2"/>
  <c r="Q574" i="2"/>
  <c r="G574" i="2"/>
  <c r="S573" i="2"/>
  <c r="R573" i="2"/>
  <c r="Q573" i="2"/>
  <c r="G573" i="2"/>
  <c r="S572" i="2"/>
  <c r="R572" i="2"/>
  <c r="Q572" i="2"/>
  <c r="G572" i="2"/>
  <c r="S571" i="2"/>
  <c r="R571" i="2"/>
  <c r="Q571" i="2"/>
  <c r="G571" i="2"/>
  <c r="S570" i="2"/>
  <c r="R570" i="2"/>
  <c r="Q570" i="2"/>
  <c r="G570" i="2"/>
  <c r="S569" i="2"/>
  <c r="R569" i="2"/>
  <c r="Q569" i="2"/>
  <c r="G569" i="2"/>
  <c r="S568" i="2"/>
  <c r="R568" i="2"/>
  <c r="Q568" i="2"/>
  <c r="G568" i="2"/>
  <c r="S567" i="2"/>
  <c r="R567" i="2"/>
  <c r="Q567" i="2"/>
  <c r="I567" i="2"/>
  <c r="S566" i="2"/>
  <c r="R566" i="2"/>
  <c r="Q566" i="2"/>
  <c r="S565" i="2"/>
  <c r="R565" i="2"/>
  <c r="Q565" i="2"/>
  <c r="S564" i="2"/>
  <c r="R564" i="2"/>
  <c r="Q564" i="2"/>
  <c r="G564" i="2"/>
  <c r="S563" i="2"/>
  <c r="R563" i="2"/>
  <c r="Q563" i="2"/>
  <c r="G563" i="2"/>
  <c r="S562" i="2"/>
  <c r="R562" i="2"/>
  <c r="Q562" i="2"/>
  <c r="S561" i="2"/>
  <c r="R561" i="2"/>
  <c r="Q561" i="2"/>
  <c r="G561" i="2"/>
  <c r="S560" i="2"/>
  <c r="R560" i="2"/>
  <c r="Q560" i="2"/>
  <c r="G560" i="2"/>
  <c r="S559" i="2"/>
  <c r="R559" i="2"/>
  <c r="Q559" i="2"/>
  <c r="G559" i="2"/>
  <c r="S558" i="2"/>
  <c r="R558" i="2"/>
  <c r="Q558" i="2"/>
  <c r="G558" i="2"/>
  <c r="S557" i="2"/>
  <c r="R557" i="2"/>
  <c r="Q557" i="2"/>
  <c r="S556" i="2"/>
  <c r="R556" i="2"/>
  <c r="Q556" i="2"/>
  <c r="S555" i="2"/>
  <c r="R555" i="2"/>
  <c r="Q555" i="2"/>
  <c r="S554" i="2"/>
  <c r="R554" i="2"/>
  <c r="Q554" i="2"/>
  <c r="G554" i="2"/>
  <c r="S553" i="2"/>
  <c r="R553" i="2"/>
  <c r="Q553" i="2"/>
  <c r="G553" i="2"/>
  <c r="S552" i="2"/>
  <c r="R552" i="2"/>
  <c r="Q552" i="2"/>
  <c r="G552" i="2"/>
  <c r="S551" i="2"/>
  <c r="R551" i="2"/>
  <c r="Q551" i="2"/>
  <c r="S550" i="2"/>
  <c r="R550" i="2"/>
  <c r="Q550" i="2"/>
  <c r="S549" i="2"/>
  <c r="R549" i="2"/>
  <c r="Q549" i="2"/>
  <c r="S548" i="2"/>
  <c r="R548" i="2"/>
  <c r="Q548" i="2"/>
  <c r="S547" i="2"/>
  <c r="R547" i="2"/>
  <c r="Q547" i="2"/>
  <c r="S546" i="2"/>
  <c r="R546" i="2"/>
  <c r="Q546" i="2"/>
  <c r="G546" i="2"/>
  <c r="S545" i="2"/>
  <c r="R545" i="2"/>
  <c r="Q545" i="2"/>
  <c r="S544" i="2"/>
  <c r="R544" i="2"/>
  <c r="Q544" i="2"/>
  <c r="S543" i="2"/>
  <c r="R543" i="2"/>
  <c r="Q543" i="2"/>
  <c r="S542" i="2"/>
  <c r="R542" i="2"/>
  <c r="Q542" i="2"/>
  <c r="S541" i="2"/>
  <c r="R541" i="2"/>
  <c r="Q541" i="2"/>
  <c r="S540" i="2"/>
  <c r="R540" i="2"/>
  <c r="Q540" i="2"/>
  <c r="S539" i="2"/>
  <c r="R539" i="2"/>
  <c r="Q539" i="2"/>
  <c r="S538" i="2"/>
  <c r="R538" i="2"/>
  <c r="Q538" i="2"/>
  <c r="S537" i="2"/>
  <c r="R537" i="2"/>
  <c r="Q537" i="2"/>
  <c r="S536" i="2"/>
  <c r="R536" i="2"/>
  <c r="Q536" i="2"/>
  <c r="S535" i="2"/>
  <c r="R535" i="2"/>
  <c r="Q535" i="2"/>
  <c r="S534" i="2"/>
  <c r="R534" i="2"/>
  <c r="Q534" i="2"/>
  <c r="S533" i="2"/>
  <c r="R533" i="2"/>
  <c r="Q533" i="2"/>
  <c r="S532" i="2"/>
  <c r="R532" i="2"/>
  <c r="Q532" i="2"/>
  <c r="S531" i="2"/>
  <c r="R531" i="2"/>
  <c r="Q531" i="2"/>
  <c r="G531" i="2"/>
  <c r="S530" i="2"/>
  <c r="R530" i="2"/>
  <c r="Q530" i="2"/>
  <c r="S529" i="2"/>
  <c r="R529" i="2"/>
  <c r="Q529" i="2"/>
  <c r="I529" i="2"/>
  <c r="G529" i="2"/>
  <c r="S528" i="2"/>
  <c r="R528" i="2"/>
  <c r="Q528" i="2"/>
  <c r="G528" i="2"/>
  <c r="S527" i="2"/>
  <c r="R527" i="2"/>
  <c r="Q527" i="2"/>
  <c r="G527" i="2"/>
  <c r="S526" i="2"/>
  <c r="R526" i="2"/>
  <c r="Q526" i="2"/>
  <c r="S525" i="2"/>
  <c r="R525" i="2"/>
  <c r="Q525" i="2"/>
  <c r="S524" i="2"/>
  <c r="R524" i="2"/>
  <c r="Q524" i="2"/>
  <c r="S523" i="2"/>
  <c r="R523" i="2"/>
  <c r="Q523" i="2"/>
  <c r="G523" i="2"/>
  <c r="S522" i="2"/>
  <c r="R522" i="2"/>
  <c r="Q522" i="2"/>
  <c r="G522" i="2"/>
  <c r="S521" i="2"/>
  <c r="R521" i="2"/>
  <c r="Q521" i="2"/>
  <c r="S520" i="2"/>
  <c r="R520" i="2"/>
  <c r="Q520" i="2"/>
  <c r="S519" i="2"/>
  <c r="R519" i="2"/>
  <c r="Q519" i="2"/>
  <c r="S518" i="2"/>
  <c r="R518" i="2"/>
  <c r="Q518" i="2"/>
  <c r="S517" i="2"/>
  <c r="R517" i="2"/>
  <c r="Q517" i="2"/>
  <c r="S516" i="2"/>
  <c r="R516" i="2"/>
  <c r="Q516" i="2"/>
  <c r="S515" i="2"/>
  <c r="R515" i="2"/>
  <c r="Q515" i="2"/>
  <c r="G515" i="2"/>
  <c r="S514" i="2"/>
  <c r="R514" i="2"/>
  <c r="Q514" i="2"/>
  <c r="G514" i="2"/>
  <c r="S513" i="2"/>
  <c r="R513" i="2"/>
  <c r="Q513" i="2"/>
  <c r="S512" i="2"/>
  <c r="R512" i="2"/>
  <c r="Q512" i="2"/>
  <c r="G512" i="2"/>
  <c r="S511" i="2"/>
  <c r="R511" i="2"/>
  <c r="Q511" i="2"/>
  <c r="G511" i="2"/>
  <c r="S510" i="2"/>
  <c r="R510" i="2"/>
  <c r="Q510" i="2"/>
  <c r="G510" i="2"/>
  <c r="S509" i="2"/>
  <c r="R509" i="2"/>
  <c r="Q509" i="2"/>
  <c r="G509" i="2"/>
  <c r="S508" i="2"/>
  <c r="R508" i="2"/>
  <c r="Q508" i="2"/>
  <c r="G508" i="2"/>
  <c r="S507" i="2"/>
  <c r="R507" i="2"/>
  <c r="Q507" i="2"/>
  <c r="S506" i="2"/>
  <c r="R506" i="2"/>
  <c r="Q506" i="2"/>
  <c r="S505" i="2"/>
  <c r="R505" i="2"/>
  <c r="Q505" i="2"/>
  <c r="S504" i="2"/>
  <c r="R504" i="2"/>
  <c r="Q504" i="2"/>
  <c r="G504" i="2"/>
  <c r="S503" i="2"/>
  <c r="R503" i="2"/>
  <c r="Q503" i="2"/>
  <c r="S502" i="2"/>
  <c r="R502" i="2"/>
  <c r="Q502" i="2"/>
  <c r="S501" i="2"/>
  <c r="R501" i="2"/>
  <c r="Q501" i="2"/>
  <c r="S500" i="2"/>
  <c r="R500" i="2"/>
  <c r="Q500" i="2"/>
  <c r="G500" i="2"/>
  <c r="S499" i="2"/>
  <c r="R499" i="2"/>
  <c r="Q499" i="2"/>
  <c r="G499" i="2"/>
  <c r="S498" i="2"/>
  <c r="R498" i="2"/>
  <c r="Q498" i="2"/>
  <c r="G498" i="2"/>
  <c r="S497" i="2"/>
  <c r="R497" i="2"/>
  <c r="Q497" i="2"/>
  <c r="S496" i="2"/>
  <c r="R496" i="2"/>
  <c r="Q496" i="2"/>
  <c r="S495" i="2"/>
  <c r="R495" i="2"/>
  <c r="Q495" i="2"/>
  <c r="G495" i="2"/>
  <c r="S494" i="2"/>
  <c r="R494" i="2"/>
  <c r="Q494" i="2"/>
  <c r="S493" i="2"/>
  <c r="R493" i="2"/>
  <c r="Q493" i="2"/>
  <c r="G493" i="2"/>
  <c r="S492" i="2"/>
  <c r="R492" i="2"/>
  <c r="Q492" i="2"/>
  <c r="G492" i="2"/>
  <c r="S491" i="2"/>
  <c r="R491" i="2"/>
  <c r="Q491" i="2"/>
  <c r="G491" i="2"/>
  <c r="S490" i="2"/>
  <c r="R490" i="2"/>
  <c r="Q490" i="2"/>
  <c r="S489" i="2"/>
  <c r="R489" i="2"/>
  <c r="Q489" i="2"/>
  <c r="I489" i="2"/>
  <c r="S488" i="2"/>
  <c r="R488" i="2"/>
  <c r="Q488" i="2"/>
  <c r="S487" i="2"/>
  <c r="R487" i="2"/>
  <c r="Q487" i="2"/>
  <c r="G487" i="2"/>
  <c r="S486" i="2"/>
  <c r="R486" i="2"/>
  <c r="Q486" i="2"/>
  <c r="S485" i="2"/>
  <c r="R485" i="2"/>
  <c r="Q485" i="2"/>
  <c r="S484" i="2"/>
  <c r="R484" i="2"/>
  <c r="Q484" i="2"/>
  <c r="S483" i="2"/>
  <c r="R483" i="2"/>
  <c r="Q483" i="2"/>
  <c r="S482" i="2"/>
  <c r="R482" i="2"/>
  <c r="Q482" i="2"/>
  <c r="G482" i="2"/>
  <c r="S481" i="2"/>
  <c r="R481" i="2"/>
  <c r="Q481" i="2"/>
  <c r="S480" i="2"/>
  <c r="R480" i="2"/>
  <c r="Q480" i="2"/>
  <c r="S479" i="2"/>
  <c r="R479" i="2"/>
  <c r="Q479" i="2"/>
  <c r="G479" i="2"/>
  <c r="S478" i="2"/>
  <c r="R478" i="2"/>
  <c r="Q478" i="2"/>
  <c r="G478" i="2"/>
  <c r="S477" i="2"/>
  <c r="R477" i="2"/>
  <c r="Q477" i="2"/>
  <c r="G477" i="2"/>
  <c r="S476" i="2"/>
  <c r="R476" i="2"/>
  <c r="Q476" i="2"/>
  <c r="S475" i="2"/>
  <c r="R475" i="2"/>
  <c r="Q475" i="2"/>
  <c r="I475" i="2"/>
  <c r="G475" i="2"/>
  <c r="S474" i="2"/>
  <c r="R474" i="2"/>
  <c r="Q474" i="2"/>
  <c r="G474" i="2"/>
  <c r="S473" i="2"/>
  <c r="R473" i="2"/>
  <c r="Q473" i="2"/>
  <c r="G473" i="2"/>
  <c r="S472" i="2"/>
  <c r="R472" i="2"/>
  <c r="Q472" i="2"/>
  <c r="G472" i="2"/>
  <c r="S471" i="2"/>
  <c r="R471" i="2"/>
  <c r="Q471" i="2"/>
  <c r="G471" i="2"/>
  <c r="S470" i="2"/>
  <c r="R470" i="2"/>
  <c r="Q470" i="2"/>
  <c r="G470" i="2"/>
  <c r="S469" i="2"/>
  <c r="R469" i="2"/>
  <c r="Q469" i="2"/>
  <c r="G469" i="2"/>
  <c r="S468" i="2"/>
  <c r="R468" i="2"/>
  <c r="Q468" i="2"/>
  <c r="G468" i="2"/>
  <c r="S467" i="2"/>
  <c r="R467" i="2"/>
  <c r="Q467" i="2"/>
  <c r="G467" i="2"/>
  <c r="S466" i="2"/>
  <c r="R466" i="2"/>
  <c r="Q466" i="2"/>
  <c r="G466" i="2"/>
  <c r="S465" i="2"/>
  <c r="R465" i="2"/>
  <c r="Q465" i="2"/>
  <c r="G465" i="2"/>
  <c r="S464" i="2"/>
  <c r="R464" i="2"/>
  <c r="Q464" i="2"/>
  <c r="G464" i="2"/>
  <c r="S463" i="2"/>
  <c r="R463" i="2"/>
  <c r="Q463" i="2"/>
  <c r="G463" i="2"/>
  <c r="S462" i="2"/>
  <c r="R462" i="2"/>
  <c r="Q462" i="2"/>
  <c r="G462" i="2"/>
  <c r="S461" i="2"/>
  <c r="R461" i="2"/>
  <c r="Q461" i="2"/>
  <c r="G461" i="2"/>
  <c r="S460" i="2"/>
  <c r="R460" i="2"/>
  <c r="Q460" i="2"/>
  <c r="G460" i="2"/>
  <c r="S459" i="2"/>
  <c r="R459" i="2"/>
  <c r="Q459" i="2"/>
  <c r="G459" i="2"/>
  <c r="S458" i="2"/>
  <c r="R458" i="2"/>
  <c r="Q458" i="2"/>
  <c r="G458" i="2"/>
  <c r="S457" i="2"/>
  <c r="R457" i="2"/>
  <c r="Q457" i="2"/>
  <c r="G457" i="2"/>
  <c r="S456" i="2"/>
  <c r="R456" i="2"/>
  <c r="Q456" i="2"/>
  <c r="G456" i="2"/>
  <c r="S455" i="2"/>
  <c r="R455" i="2"/>
  <c r="Q455" i="2"/>
  <c r="G455" i="2"/>
  <c r="S454" i="2"/>
  <c r="R454" i="2"/>
  <c r="Q454" i="2"/>
  <c r="G454" i="2"/>
  <c r="S453" i="2"/>
  <c r="R453" i="2"/>
  <c r="Q453" i="2"/>
  <c r="G453" i="2"/>
  <c r="S452" i="2"/>
  <c r="R452" i="2"/>
  <c r="Q452" i="2"/>
  <c r="G452" i="2"/>
  <c r="S451" i="2"/>
  <c r="R451" i="2"/>
  <c r="Q451" i="2"/>
  <c r="G451" i="2"/>
  <c r="S450" i="2"/>
  <c r="R450" i="2"/>
  <c r="Q450" i="2"/>
  <c r="G450" i="2"/>
  <c r="S449" i="2"/>
  <c r="R449" i="2"/>
  <c r="Q449" i="2"/>
  <c r="G449" i="2"/>
  <c r="S448" i="2"/>
  <c r="R448" i="2"/>
  <c r="Q448" i="2"/>
  <c r="I448" i="2"/>
  <c r="G448" i="2"/>
  <c r="S447" i="2"/>
  <c r="R447" i="2"/>
  <c r="Q447" i="2"/>
  <c r="G447" i="2"/>
  <c r="S446" i="2"/>
  <c r="R446" i="2"/>
  <c r="Q446" i="2"/>
  <c r="S445" i="2"/>
  <c r="R445" i="2"/>
  <c r="Q445" i="2"/>
  <c r="S444" i="2"/>
  <c r="R444" i="2"/>
  <c r="Q444" i="2"/>
  <c r="S443" i="2"/>
  <c r="R443" i="2"/>
  <c r="Q443" i="2"/>
  <c r="G443" i="2"/>
  <c r="S442" i="2"/>
  <c r="R442" i="2"/>
  <c r="Q442" i="2"/>
  <c r="G442" i="2"/>
  <c r="S441" i="2"/>
  <c r="R441" i="2"/>
  <c r="Q441" i="2"/>
  <c r="G441" i="2"/>
  <c r="S440" i="2"/>
  <c r="R440" i="2"/>
  <c r="Q440" i="2"/>
  <c r="S439" i="2"/>
  <c r="R439" i="2"/>
  <c r="Q439" i="2"/>
  <c r="S438" i="2"/>
  <c r="R438" i="2"/>
  <c r="Q438" i="2"/>
  <c r="G438" i="2"/>
  <c r="S437" i="2"/>
  <c r="R437" i="2"/>
  <c r="Q437" i="2"/>
  <c r="G437" i="2"/>
  <c r="S436" i="2"/>
  <c r="R436" i="2"/>
  <c r="Q436" i="2"/>
  <c r="G436" i="2"/>
  <c r="S435" i="2"/>
  <c r="R435" i="2"/>
  <c r="Q435" i="2"/>
  <c r="S434" i="2"/>
  <c r="R434" i="2"/>
  <c r="Q434" i="2"/>
  <c r="G434" i="2"/>
  <c r="S433" i="2"/>
  <c r="R433" i="2"/>
  <c r="Q433" i="2"/>
  <c r="G433" i="2"/>
  <c r="S432" i="2"/>
  <c r="R432" i="2"/>
  <c r="Q432" i="2"/>
  <c r="G432" i="2"/>
  <c r="S431" i="2"/>
  <c r="R431" i="2"/>
  <c r="Q431" i="2"/>
  <c r="G431" i="2"/>
  <c r="S430" i="2"/>
  <c r="R430" i="2"/>
  <c r="Q430" i="2"/>
  <c r="G430" i="2"/>
  <c r="S429" i="2"/>
  <c r="R429" i="2"/>
  <c r="Q429" i="2"/>
  <c r="I429" i="2"/>
  <c r="S428" i="2"/>
  <c r="R428" i="2"/>
  <c r="Q428" i="2"/>
  <c r="G428" i="2"/>
  <c r="S427" i="2"/>
  <c r="R427" i="2"/>
  <c r="Q427" i="2"/>
  <c r="S426" i="2"/>
  <c r="R426" i="2"/>
  <c r="Q426" i="2"/>
  <c r="S425" i="2"/>
  <c r="R425" i="2"/>
  <c r="Q425" i="2"/>
  <c r="S424" i="2"/>
  <c r="R424" i="2"/>
  <c r="Q424" i="2"/>
  <c r="G424" i="2"/>
  <c r="S423" i="2"/>
  <c r="R423" i="2"/>
  <c r="Q423" i="2"/>
  <c r="G423" i="2"/>
  <c r="S422" i="2"/>
  <c r="R422" i="2"/>
  <c r="Q422" i="2"/>
  <c r="I422" i="2"/>
  <c r="G422" i="2"/>
  <c r="S421" i="2"/>
  <c r="R421" i="2"/>
  <c r="Q421" i="2"/>
  <c r="G421" i="2"/>
  <c r="S420" i="2"/>
  <c r="R420" i="2"/>
  <c r="Q420" i="2"/>
  <c r="G420" i="2"/>
  <c r="S419" i="2"/>
  <c r="R419" i="2"/>
  <c r="Q419" i="2"/>
  <c r="G419" i="2"/>
  <c r="S418" i="2"/>
  <c r="R418" i="2"/>
  <c r="Q418" i="2"/>
  <c r="G418" i="2"/>
  <c r="S417" i="2"/>
  <c r="R417" i="2"/>
  <c r="Q417" i="2"/>
  <c r="G417" i="2"/>
  <c r="S416" i="2"/>
  <c r="R416" i="2"/>
  <c r="Q416" i="2"/>
  <c r="G416" i="2"/>
  <c r="S415" i="2"/>
  <c r="R415" i="2"/>
  <c r="Q415" i="2"/>
  <c r="S414" i="2"/>
  <c r="R414" i="2"/>
  <c r="Q414" i="2"/>
  <c r="S413" i="2"/>
  <c r="R413" i="2"/>
  <c r="Q413" i="2"/>
  <c r="G413" i="2"/>
  <c r="S412" i="2"/>
  <c r="R412" i="2"/>
  <c r="Q412" i="2"/>
  <c r="S411" i="2"/>
  <c r="R411" i="2"/>
  <c r="Q411" i="2"/>
  <c r="G411" i="2"/>
  <c r="S410" i="2"/>
  <c r="R410" i="2"/>
  <c r="Q410" i="2"/>
  <c r="G410" i="2"/>
  <c r="S409" i="2"/>
  <c r="R409" i="2"/>
  <c r="Q409" i="2"/>
  <c r="G409" i="2"/>
  <c r="S408" i="2"/>
  <c r="R408" i="2"/>
  <c r="Q408" i="2"/>
  <c r="S407" i="2"/>
  <c r="R407" i="2"/>
  <c r="Q407" i="2"/>
  <c r="S406" i="2"/>
  <c r="R406" i="2"/>
  <c r="Q406" i="2"/>
  <c r="G406" i="2"/>
  <c r="S405" i="2"/>
  <c r="R405" i="2"/>
  <c r="Q405" i="2"/>
  <c r="G405" i="2"/>
  <c r="S404" i="2"/>
  <c r="R404" i="2"/>
  <c r="Q404" i="2"/>
  <c r="G404" i="2"/>
  <c r="S403" i="2"/>
  <c r="R403" i="2"/>
  <c r="Q403" i="2"/>
  <c r="S402" i="2"/>
  <c r="R402" i="2"/>
  <c r="Q402" i="2"/>
  <c r="G402" i="2"/>
  <c r="S401" i="2"/>
  <c r="R401" i="2"/>
  <c r="Q401" i="2"/>
  <c r="G401" i="2"/>
  <c r="S400" i="2"/>
  <c r="R400" i="2"/>
  <c r="Q400" i="2"/>
  <c r="G400" i="2"/>
  <c r="S399" i="2"/>
  <c r="R399" i="2"/>
  <c r="Q399" i="2"/>
  <c r="G399" i="2"/>
  <c r="S398" i="2"/>
  <c r="R398" i="2"/>
  <c r="Q398" i="2"/>
  <c r="G398" i="2"/>
  <c r="S397" i="2"/>
  <c r="R397" i="2"/>
  <c r="Q397" i="2"/>
  <c r="G397" i="2"/>
  <c r="S396" i="2"/>
  <c r="R396" i="2"/>
  <c r="Q396" i="2"/>
  <c r="G396" i="2"/>
  <c r="S395" i="2"/>
  <c r="R395" i="2"/>
  <c r="Q395" i="2"/>
  <c r="G395" i="2"/>
  <c r="S394" i="2"/>
  <c r="R394" i="2"/>
  <c r="Q394" i="2"/>
  <c r="G394" i="2"/>
  <c r="S393" i="2"/>
  <c r="R393" i="2"/>
  <c r="Q393" i="2"/>
  <c r="S392" i="2"/>
  <c r="R392" i="2"/>
  <c r="Q392" i="2"/>
  <c r="G392" i="2"/>
  <c r="S391" i="2"/>
  <c r="R391" i="2"/>
  <c r="Q391" i="2"/>
  <c r="G391" i="2"/>
  <c r="S390" i="2"/>
  <c r="R390" i="2"/>
  <c r="Q390" i="2"/>
  <c r="G390" i="2"/>
  <c r="S389" i="2"/>
  <c r="R389" i="2"/>
  <c r="Q389" i="2"/>
  <c r="G389" i="2"/>
  <c r="S388" i="2"/>
  <c r="R388" i="2"/>
  <c r="Q388" i="2"/>
  <c r="G388" i="2"/>
  <c r="S387" i="2"/>
  <c r="R387" i="2"/>
  <c r="Q387" i="2"/>
  <c r="G387" i="2"/>
  <c r="S386" i="2"/>
  <c r="R386" i="2"/>
  <c r="Q386" i="2"/>
  <c r="G386" i="2"/>
  <c r="S385" i="2"/>
  <c r="R385" i="2"/>
  <c r="Q385" i="2"/>
  <c r="G385" i="2"/>
  <c r="S384" i="2"/>
  <c r="R384" i="2"/>
  <c r="Q384" i="2"/>
  <c r="S383" i="2"/>
  <c r="R383" i="2"/>
  <c r="Q383" i="2"/>
  <c r="G383" i="2"/>
  <c r="S382" i="2"/>
  <c r="R382" i="2"/>
  <c r="Q382" i="2"/>
  <c r="G382" i="2"/>
  <c r="S381" i="2"/>
  <c r="R381" i="2"/>
  <c r="Q381" i="2"/>
  <c r="G381" i="2"/>
  <c r="S380" i="2"/>
  <c r="R380" i="2"/>
  <c r="Q380" i="2"/>
  <c r="I380" i="2"/>
  <c r="G380" i="2"/>
  <c r="S379" i="2"/>
  <c r="R379" i="2"/>
  <c r="Q379" i="2"/>
  <c r="G379" i="2"/>
  <c r="S378" i="2"/>
  <c r="R378" i="2"/>
  <c r="Q378" i="2"/>
  <c r="S377" i="2"/>
  <c r="R377" i="2"/>
  <c r="Q377" i="2"/>
  <c r="S376" i="2"/>
  <c r="R376" i="2"/>
  <c r="Q376" i="2"/>
  <c r="S375" i="2"/>
  <c r="R375" i="2"/>
  <c r="Q375" i="2"/>
  <c r="S374" i="2"/>
  <c r="R374" i="2"/>
  <c r="Q374" i="2"/>
  <c r="G374" i="2"/>
  <c r="S373" i="2"/>
  <c r="R373" i="2"/>
  <c r="Q373" i="2"/>
  <c r="G373" i="2"/>
  <c r="S372" i="2"/>
  <c r="R372" i="2"/>
  <c r="Q372" i="2"/>
  <c r="G372" i="2"/>
  <c r="S371" i="2"/>
  <c r="R371" i="2"/>
  <c r="Q371" i="2"/>
  <c r="G371" i="2"/>
  <c r="S370" i="2"/>
  <c r="R370" i="2"/>
  <c r="Q370" i="2"/>
  <c r="G370" i="2"/>
  <c r="S369" i="2"/>
  <c r="R369" i="2"/>
  <c r="Q369" i="2"/>
  <c r="G369" i="2"/>
  <c r="S368" i="2"/>
  <c r="R368" i="2"/>
  <c r="Q368" i="2"/>
  <c r="S367" i="2"/>
  <c r="R367" i="2"/>
  <c r="Q367" i="2"/>
  <c r="S366" i="2"/>
  <c r="R366" i="2"/>
  <c r="Q366" i="2"/>
  <c r="S365" i="2"/>
  <c r="R365" i="2"/>
  <c r="Q365" i="2"/>
  <c r="G365" i="2"/>
  <c r="S364" i="2"/>
  <c r="R364" i="2"/>
  <c r="Q364" i="2"/>
  <c r="G364" i="2"/>
  <c r="S363" i="2"/>
  <c r="R363" i="2"/>
  <c r="Q363" i="2"/>
  <c r="G363" i="2"/>
  <c r="S362" i="2"/>
  <c r="R362" i="2"/>
  <c r="Q362" i="2"/>
  <c r="G362" i="2"/>
  <c r="S361" i="2"/>
  <c r="R361" i="2"/>
  <c r="Q361" i="2"/>
  <c r="S360" i="2"/>
  <c r="R360" i="2"/>
  <c r="Q360" i="2"/>
  <c r="G360" i="2"/>
  <c r="S359" i="2"/>
  <c r="R359" i="2"/>
  <c r="Q359" i="2"/>
  <c r="S358" i="2"/>
  <c r="R358" i="2"/>
  <c r="Q358" i="2"/>
  <c r="G358" i="2"/>
  <c r="S357" i="2"/>
  <c r="R357" i="2"/>
  <c r="Q357" i="2"/>
  <c r="G357" i="2"/>
  <c r="S356" i="2"/>
  <c r="R356" i="2"/>
  <c r="Q356" i="2"/>
  <c r="G356" i="2"/>
  <c r="S355" i="2"/>
  <c r="R355" i="2"/>
  <c r="Q355" i="2"/>
  <c r="G355" i="2"/>
  <c r="S354" i="2"/>
  <c r="R354" i="2"/>
  <c r="Q354" i="2"/>
  <c r="G354" i="2"/>
  <c r="S353" i="2"/>
  <c r="R353" i="2"/>
  <c r="Q353" i="2"/>
  <c r="G353" i="2"/>
  <c r="S352" i="2"/>
  <c r="R352" i="2"/>
  <c r="Q352" i="2"/>
  <c r="S351" i="2"/>
  <c r="R351" i="2"/>
  <c r="Q351" i="2"/>
  <c r="S350" i="2"/>
  <c r="R350" i="2"/>
  <c r="Q350" i="2"/>
  <c r="I350" i="2"/>
  <c r="G350" i="2"/>
  <c r="S349" i="2"/>
  <c r="R349" i="2"/>
  <c r="Q349" i="2"/>
  <c r="I349" i="2"/>
  <c r="G349" i="2"/>
  <c r="S348" i="2"/>
  <c r="R348" i="2"/>
  <c r="Q348" i="2"/>
  <c r="G348" i="2"/>
  <c r="S347" i="2"/>
  <c r="R347" i="2"/>
  <c r="Q347" i="2"/>
  <c r="G347" i="2"/>
  <c r="S346" i="2"/>
  <c r="R346" i="2"/>
  <c r="Q346" i="2"/>
  <c r="G346" i="2"/>
  <c r="S345" i="2"/>
  <c r="R345" i="2"/>
  <c r="Q345" i="2"/>
  <c r="G345" i="2"/>
  <c r="S344" i="2"/>
  <c r="R344" i="2"/>
  <c r="Q344" i="2"/>
  <c r="G344" i="2"/>
  <c r="S343" i="2"/>
  <c r="R343" i="2"/>
  <c r="Q343" i="2"/>
  <c r="S342" i="2"/>
  <c r="R342" i="2"/>
  <c r="Q342" i="2"/>
  <c r="I342" i="2"/>
  <c r="G342" i="2"/>
  <c r="S341" i="2"/>
  <c r="R341" i="2"/>
  <c r="Q341" i="2"/>
  <c r="G341" i="2"/>
  <c r="S340" i="2"/>
  <c r="R340" i="2"/>
  <c r="Q340" i="2"/>
  <c r="G340" i="2"/>
  <c r="S339" i="2"/>
  <c r="R339" i="2"/>
  <c r="Q339" i="2"/>
  <c r="G339" i="2"/>
  <c r="S338" i="2"/>
  <c r="R338" i="2"/>
  <c r="Q338" i="2"/>
  <c r="G338" i="2"/>
  <c r="S337" i="2"/>
  <c r="R337" i="2"/>
  <c r="Q337" i="2"/>
  <c r="G337" i="2"/>
  <c r="S336" i="2"/>
  <c r="R336" i="2"/>
  <c r="Q336" i="2"/>
  <c r="G336" i="2"/>
  <c r="S335" i="2"/>
  <c r="R335" i="2"/>
  <c r="Q335" i="2"/>
  <c r="G335" i="2"/>
  <c r="S334" i="2"/>
  <c r="R334" i="2"/>
  <c r="Q334" i="2"/>
  <c r="S333" i="2"/>
  <c r="R333" i="2"/>
  <c r="Q333" i="2"/>
  <c r="G333" i="2"/>
  <c r="S332" i="2"/>
  <c r="R332" i="2"/>
  <c r="Q332" i="2"/>
  <c r="S331" i="2"/>
  <c r="R331" i="2"/>
  <c r="Q331" i="2"/>
  <c r="G331" i="2"/>
  <c r="S330" i="2"/>
  <c r="R330" i="2"/>
  <c r="Q330" i="2"/>
  <c r="S329" i="2"/>
  <c r="R329" i="2"/>
  <c r="Q329" i="2"/>
  <c r="S328" i="2"/>
  <c r="R328" i="2"/>
  <c r="Q328" i="2"/>
  <c r="G328" i="2"/>
  <c r="S327" i="2"/>
  <c r="R327" i="2"/>
  <c r="Q327" i="2"/>
  <c r="G327" i="2"/>
  <c r="S326" i="2"/>
  <c r="R326" i="2"/>
  <c r="Q326" i="2"/>
  <c r="G326" i="2"/>
  <c r="S325" i="2"/>
  <c r="R325" i="2"/>
  <c r="Q325" i="2"/>
  <c r="G325" i="2"/>
  <c r="S324" i="2"/>
  <c r="R324" i="2"/>
  <c r="Q324" i="2"/>
  <c r="G324" i="2"/>
  <c r="S323" i="2"/>
  <c r="R323" i="2"/>
  <c r="Q323" i="2"/>
  <c r="G323" i="2"/>
  <c r="S322" i="2"/>
  <c r="R322" i="2"/>
  <c r="Q322" i="2"/>
  <c r="G322" i="2"/>
  <c r="S321" i="2"/>
  <c r="R321" i="2"/>
  <c r="Q321" i="2"/>
  <c r="G321" i="2"/>
  <c r="S320" i="2"/>
  <c r="R320" i="2"/>
  <c r="Q320" i="2"/>
  <c r="S319" i="2"/>
  <c r="R319" i="2"/>
  <c r="Q319" i="2"/>
  <c r="G319" i="2"/>
  <c r="S318" i="2"/>
  <c r="R318" i="2"/>
  <c r="Q318" i="2"/>
  <c r="G318" i="2"/>
  <c r="S317" i="2"/>
  <c r="R317" i="2"/>
  <c r="Q317" i="2"/>
  <c r="G317" i="2"/>
  <c r="S316" i="2"/>
  <c r="R316" i="2"/>
  <c r="Q316" i="2"/>
  <c r="S315" i="2"/>
  <c r="R315" i="2"/>
  <c r="Q315" i="2"/>
  <c r="G315" i="2"/>
  <c r="S314" i="2"/>
  <c r="R314" i="2"/>
  <c r="Q314" i="2"/>
  <c r="G314" i="2"/>
  <c r="S313" i="2"/>
  <c r="R313" i="2"/>
  <c r="Q313" i="2"/>
  <c r="G313" i="2"/>
  <c r="S312" i="2"/>
  <c r="R312" i="2"/>
  <c r="Q312" i="2"/>
  <c r="G312" i="2"/>
  <c r="S311" i="2"/>
  <c r="R311" i="2"/>
  <c r="Q311" i="2"/>
  <c r="G311" i="2"/>
  <c r="S310" i="2"/>
  <c r="R310" i="2"/>
  <c r="Q310" i="2"/>
  <c r="G310" i="2"/>
  <c r="S309" i="2"/>
  <c r="R309" i="2"/>
  <c r="Q309" i="2"/>
  <c r="G309" i="2"/>
  <c r="S308" i="2"/>
  <c r="R308" i="2"/>
  <c r="Q308" i="2"/>
  <c r="G308" i="2"/>
  <c r="S307" i="2"/>
  <c r="R307" i="2"/>
  <c r="Q307" i="2"/>
  <c r="I307" i="2"/>
  <c r="G307" i="2"/>
  <c r="S306" i="2"/>
  <c r="R306" i="2"/>
  <c r="Q306" i="2"/>
  <c r="G306" i="2"/>
  <c r="S305" i="2"/>
  <c r="R305" i="2"/>
  <c r="Q305" i="2"/>
  <c r="G305" i="2"/>
  <c r="S304" i="2"/>
  <c r="R304" i="2"/>
  <c r="Q304" i="2"/>
  <c r="I304" i="2"/>
  <c r="G304" i="2"/>
  <c r="S303" i="2"/>
  <c r="R303" i="2"/>
  <c r="Q303" i="2"/>
  <c r="G303" i="2"/>
  <c r="S302" i="2"/>
  <c r="R302" i="2"/>
  <c r="Q302" i="2"/>
  <c r="G302" i="2"/>
  <c r="S301" i="2"/>
  <c r="R301" i="2"/>
  <c r="Q301" i="2"/>
  <c r="G301" i="2"/>
  <c r="S300" i="2"/>
  <c r="R300" i="2"/>
  <c r="Q300" i="2"/>
  <c r="G300" i="2"/>
  <c r="S299" i="2"/>
  <c r="R299" i="2"/>
  <c r="Q299" i="2"/>
  <c r="G299" i="2"/>
  <c r="S298" i="2"/>
  <c r="R298" i="2"/>
  <c r="Q298" i="2"/>
  <c r="I298" i="2"/>
  <c r="G298" i="2"/>
  <c r="S297" i="2"/>
  <c r="R297" i="2"/>
  <c r="Q297" i="2"/>
  <c r="G297" i="2"/>
  <c r="S296" i="2"/>
  <c r="R296" i="2"/>
  <c r="Q296" i="2"/>
  <c r="S295" i="2"/>
  <c r="R295" i="2"/>
  <c r="Q295" i="2"/>
  <c r="S294" i="2"/>
  <c r="R294" i="2"/>
  <c r="Q294" i="2"/>
  <c r="S293" i="2"/>
  <c r="R293" i="2"/>
  <c r="Q293" i="2"/>
  <c r="S292" i="2"/>
  <c r="R292" i="2"/>
  <c r="Q292" i="2"/>
  <c r="S291" i="2"/>
  <c r="R291" i="2"/>
  <c r="Q291" i="2"/>
  <c r="S290" i="2"/>
  <c r="R290" i="2"/>
  <c r="Q290" i="2"/>
  <c r="S289" i="2"/>
  <c r="R289" i="2"/>
  <c r="Q289" i="2"/>
  <c r="S288" i="2"/>
  <c r="R288" i="2"/>
  <c r="Q288" i="2"/>
  <c r="G288" i="2"/>
  <c r="S287" i="2"/>
  <c r="R287" i="2"/>
  <c r="Q287" i="2"/>
  <c r="G287" i="2"/>
  <c r="S286" i="2"/>
  <c r="R286" i="2"/>
  <c r="Q286" i="2"/>
  <c r="I286" i="2"/>
  <c r="G286" i="2"/>
  <c r="S285" i="2"/>
  <c r="R285" i="2"/>
  <c r="Q285" i="2"/>
  <c r="G285" i="2"/>
  <c r="S284" i="2"/>
  <c r="R284" i="2"/>
  <c r="Q284" i="2"/>
  <c r="G284" i="2"/>
  <c r="S283" i="2"/>
  <c r="R283" i="2"/>
  <c r="Q283" i="2"/>
  <c r="S282" i="2"/>
  <c r="R282" i="2"/>
  <c r="Q282" i="2"/>
  <c r="S281" i="2"/>
  <c r="R281" i="2"/>
  <c r="Q281" i="2"/>
  <c r="S280" i="2"/>
  <c r="R280" i="2"/>
  <c r="Q280" i="2"/>
  <c r="S279" i="2"/>
  <c r="R279" i="2"/>
  <c r="Q279" i="2"/>
  <c r="G279" i="2"/>
  <c r="S278" i="2"/>
  <c r="R278" i="2"/>
  <c r="Q278" i="2"/>
  <c r="G278" i="2"/>
  <c r="S277" i="2"/>
  <c r="R277" i="2"/>
  <c r="Q277" i="2"/>
  <c r="G277" i="2"/>
  <c r="S276" i="2"/>
  <c r="R276" i="2"/>
  <c r="Q276" i="2"/>
  <c r="I276" i="2"/>
  <c r="G276" i="2"/>
  <c r="S275" i="2"/>
  <c r="R275" i="2"/>
  <c r="Q275" i="2"/>
  <c r="S274" i="2"/>
  <c r="R274" i="2"/>
  <c r="Q274" i="2"/>
  <c r="G274" i="2"/>
  <c r="S273" i="2"/>
  <c r="R273" i="2"/>
  <c r="Q273" i="2"/>
  <c r="G273" i="2"/>
  <c r="S272" i="2"/>
  <c r="R272" i="2"/>
  <c r="Q272" i="2"/>
  <c r="G272" i="2"/>
  <c r="S271" i="2"/>
  <c r="R271" i="2"/>
  <c r="Q271" i="2"/>
  <c r="G271" i="2"/>
  <c r="S270" i="2"/>
  <c r="R270" i="2"/>
  <c r="Q270" i="2"/>
  <c r="G270" i="2"/>
  <c r="S269" i="2"/>
  <c r="R269" i="2"/>
  <c r="Q269" i="2"/>
  <c r="G269" i="2"/>
  <c r="S268" i="2"/>
  <c r="R268" i="2"/>
  <c r="Q268" i="2"/>
  <c r="G268" i="2"/>
  <c r="S267" i="2"/>
  <c r="R267" i="2"/>
  <c r="Q267" i="2"/>
  <c r="G267" i="2"/>
  <c r="S266" i="2"/>
  <c r="R266" i="2"/>
  <c r="Q266" i="2"/>
  <c r="S265" i="2"/>
  <c r="R265" i="2"/>
  <c r="Q265" i="2"/>
  <c r="G265" i="2"/>
  <c r="S264" i="2"/>
  <c r="R264" i="2"/>
  <c r="Q264" i="2"/>
  <c r="G264" i="2"/>
  <c r="S263" i="2"/>
  <c r="R263" i="2"/>
  <c r="Q263" i="2"/>
  <c r="G263" i="2"/>
  <c r="S262" i="2"/>
  <c r="R262" i="2"/>
  <c r="Q262" i="2"/>
  <c r="G262" i="2"/>
  <c r="S261" i="2"/>
  <c r="R261" i="2"/>
  <c r="Q261" i="2"/>
  <c r="G261" i="2"/>
  <c r="S260" i="2"/>
  <c r="R260" i="2"/>
  <c r="Q260" i="2"/>
  <c r="S259" i="2"/>
  <c r="R259" i="2"/>
  <c r="Q259" i="2"/>
  <c r="S258" i="2"/>
  <c r="R258" i="2"/>
  <c r="Q258" i="2"/>
  <c r="S257" i="2"/>
  <c r="R257" i="2"/>
  <c r="Q257" i="2"/>
  <c r="S256" i="2"/>
  <c r="R256" i="2"/>
  <c r="Q256" i="2"/>
  <c r="G256" i="2"/>
  <c r="S255" i="2"/>
  <c r="R255" i="2"/>
  <c r="Q255" i="2"/>
  <c r="G255" i="2"/>
  <c r="S254" i="2"/>
  <c r="R254" i="2"/>
  <c r="Q254" i="2"/>
  <c r="G254" i="2"/>
  <c r="S253" i="2"/>
  <c r="R253" i="2"/>
  <c r="Q253" i="2"/>
  <c r="G253" i="2"/>
  <c r="S252" i="2"/>
  <c r="R252" i="2"/>
  <c r="Q252" i="2"/>
  <c r="G252" i="2"/>
  <c r="S251" i="2"/>
  <c r="R251" i="2"/>
  <c r="Q251" i="2"/>
  <c r="G251" i="2"/>
  <c r="S250" i="2"/>
  <c r="R250" i="2"/>
  <c r="Q250" i="2"/>
  <c r="I250" i="2"/>
  <c r="G250" i="2"/>
  <c r="S249" i="2"/>
  <c r="R249" i="2"/>
  <c r="Q249" i="2"/>
  <c r="G249" i="2"/>
  <c r="S248" i="2"/>
  <c r="R248" i="2"/>
  <c r="Q248" i="2"/>
  <c r="G248" i="2"/>
  <c r="S247" i="2"/>
  <c r="R247" i="2"/>
  <c r="Q247" i="2"/>
  <c r="G247" i="2"/>
  <c r="S246" i="2"/>
  <c r="R246" i="2"/>
  <c r="Q246" i="2"/>
  <c r="G246" i="2"/>
  <c r="S245" i="2"/>
  <c r="R245" i="2"/>
  <c r="Q245" i="2"/>
  <c r="G245" i="2"/>
  <c r="S244" i="2"/>
  <c r="R244" i="2"/>
  <c r="Q244" i="2"/>
  <c r="G244" i="2"/>
  <c r="S243" i="2"/>
  <c r="R243" i="2"/>
  <c r="Q243" i="2"/>
  <c r="G243" i="2"/>
  <c r="S242" i="2"/>
  <c r="R242" i="2"/>
  <c r="Q242" i="2"/>
  <c r="S241" i="2"/>
  <c r="R241" i="2"/>
  <c r="Q241" i="2"/>
  <c r="G241" i="2"/>
  <c r="S240" i="2"/>
  <c r="R240" i="2"/>
  <c r="Q240" i="2"/>
  <c r="G240" i="2"/>
  <c r="S239" i="2"/>
  <c r="R239" i="2"/>
  <c r="Q239" i="2"/>
  <c r="G239" i="2"/>
  <c r="S238" i="2"/>
  <c r="R238" i="2"/>
  <c r="Q238" i="2"/>
  <c r="G238" i="2"/>
  <c r="S237" i="2"/>
  <c r="R237" i="2"/>
  <c r="Q237" i="2"/>
  <c r="G237" i="2"/>
  <c r="S236" i="2"/>
  <c r="R236" i="2"/>
  <c r="Q236" i="2"/>
  <c r="S235" i="2"/>
  <c r="R235" i="2"/>
  <c r="Q235" i="2"/>
  <c r="S234" i="2"/>
  <c r="R234" i="2"/>
  <c r="Q234" i="2"/>
  <c r="S233" i="2"/>
  <c r="R233" i="2"/>
  <c r="Q233" i="2"/>
  <c r="G233" i="2"/>
  <c r="S232" i="2"/>
  <c r="R232" i="2"/>
  <c r="Q232" i="2"/>
  <c r="G232" i="2"/>
  <c r="S231" i="2"/>
  <c r="R231" i="2"/>
  <c r="Q231" i="2"/>
  <c r="G231" i="2"/>
  <c r="S230" i="2"/>
  <c r="R230" i="2"/>
  <c r="Q230" i="2"/>
  <c r="G230" i="2"/>
  <c r="S229" i="2"/>
  <c r="R229" i="2"/>
  <c r="Q229" i="2"/>
  <c r="G229" i="2"/>
  <c r="S228" i="2"/>
  <c r="R228" i="2"/>
  <c r="Q228" i="2"/>
  <c r="G228" i="2"/>
  <c r="S227" i="2"/>
  <c r="R227" i="2"/>
  <c r="Q227" i="2"/>
  <c r="G227" i="2"/>
  <c r="S226" i="2"/>
  <c r="R226" i="2"/>
  <c r="Q226" i="2"/>
  <c r="I226" i="2"/>
  <c r="G226" i="2"/>
  <c r="S225" i="2"/>
  <c r="R225" i="2"/>
  <c r="Q225" i="2"/>
  <c r="G225" i="2"/>
  <c r="S224" i="2"/>
  <c r="R224" i="2"/>
  <c r="Q224" i="2"/>
  <c r="S223" i="2"/>
  <c r="R223" i="2"/>
  <c r="Q223" i="2"/>
  <c r="S222" i="2"/>
  <c r="R222" i="2"/>
  <c r="Q222" i="2"/>
  <c r="S221" i="2"/>
  <c r="R221" i="2"/>
  <c r="Q221" i="2"/>
  <c r="S220" i="2"/>
  <c r="R220" i="2"/>
  <c r="Q220" i="2"/>
  <c r="G220" i="2"/>
  <c r="S219" i="2"/>
  <c r="R219" i="2"/>
  <c r="Q219" i="2"/>
  <c r="G219" i="2"/>
  <c r="S218" i="2"/>
  <c r="R218" i="2"/>
  <c r="Q218" i="2"/>
  <c r="G218" i="2"/>
  <c r="S217" i="2"/>
  <c r="R217" i="2"/>
  <c r="Q217" i="2"/>
  <c r="G217" i="2"/>
  <c r="S216" i="2"/>
  <c r="R216" i="2"/>
  <c r="Q216" i="2"/>
  <c r="G216" i="2"/>
  <c r="S215" i="2"/>
  <c r="R215" i="2"/>
  <c r="Q215" i="2"/>
  <c r="S214" i="2"/>
  <c r="R214" i="2"/>
  <c r="Q214" i="2"/>
  <c r="G214" i="2"/>
  <c r="S213" i="2"/>
  <c r="R213" i="2"/>
  <c r="Q213" i="2"/>
  <c r="S212" i="2"/>
  <c r="R212" i="2"/>
  <c r="Q212" i="2"/>
  <c r="S211" i="2"/>
  <c r="R211" i="2"/>
  <c r="Q211" i="2"/>
  <c r="I211" i="2"/>
  <c r="G211" i="2"/>
  <c r="S210" i="2"/>
  <c r="R210" i="2"/>
  <c r="Q210" i="2"/>
  <c r="G210" i="2"/>
  <c r="S209" i="2"/>
  <c r="R209" i="2"/>
  <c r="Q209" i="2"/>
  <c r="G209" i="2"/>
  <c r="S208" i="2"/>
  <c r="R208" i="2"/>
  <c r="Q208" i="2"/>
  <c r="G208" i="2"/>
  <c r="S207" i="2"/>
  <c r="R207" i="2"/>
  <c r="Q207" i="2"/>
  <c r="G207" i="2"/>
  <c r="S206" i="2"/>
  <c r="R206" i="2"/>
  <c r="Q206" i="2"/>
  <c r="S205" i="2"/>
  <c r="R205" i="2"/>
  <c r="Q205" i="2"/>
  <c r="G205" i="2"/>
  <c r="S204" i="2"/>
  <c r="R204" i="2"/>
  <c r="Q204" i="2"/>
  <c r="S203" i="2"/>
  <c r="R203" i="2"/>
  <c r="Q203" i="2"/>
  <c r="I203" i="2"/>
  <c r="G203" i="2"/>
  <c r="S202" i="2"/>
  <c r="R202" i="2"/>
  <c r="Q202" i="2"/>
  <c r="G202" i="2"/>
  <c r="S201" i="2"/>
  <c r="R201" i="2"/>
  <c r="Q201" i="2"/>
  <c r="G201" i="2"/>
  <c r="S200" i="2"/>
  <c r="R200" i="2"/>
  <c r="Q200" i="2"/>
  <c r="G200" i="2"/>
  <c r="S199" i="2"/>
  <c r="R199" i="2"/>
  <c r="Q199" i="2"/>
  <c r="G199" i="2"/>
  <c r="S198" i="2"/>
  <c r="R198" i="2"/>
  <c r="Q198" i="2"/>
  <c r="G198" i="2"/>
  <c r="S197" i="2"/>
  <c r="R197" i="2"/>
  <c r="Q197" i="2"/>
  <c r="G197" i="2"/>
  <c r="S196" i="2"/>
  <c r="R196" i="2"/>
  <c r="Q196" i="2"/>
  <c r="G196" i="2"/>
  <c r="S195" i="2"/>
  <c r="R195" i="2"/>
  <c r="Q195" i="2"/>
  <c r="G195" i="2"/>
  <c r="S194" i="2"/>
  <c r="R194" i="2"/>
  <c r="Q194" i="2"/>
  <c r="G194" i="2"/>
  <c r="S193" i="2"/>
  <c r="R193" i="2"/>
  <c r="Q193" i="2"/>
  <c r="G193" i="2"/>
  <c r="S192" i="2"/>
  <c r="R192" i="2"/>
  <c r="Q192" i="2"/>
  <c r="I192" i="2"/>
  <c r="G192" i="2"/>
  <c r="S191" i="2"/>
  <c r="R191" i="2"/>
  <c r="Q191" i="2"/>
  <c r="G191" i="2"/>
  <c r="S190" i="2"/>
  <c r="R190" i="2"/>
  <c r="Q190" i="2"/>
  <c r="G190" i="2"/>
  <c r="S189" i="2"/>
  <c r="R189" i="2"/>
  <c r="Q189" i="2"/>
  <c r="G189" i="2"/>
  <c r="S188" i="2"/>
  <c r="R188" i="2"/>
  <c r="Q188" i="2"/>
  <c r="G188" i="2"/>
  <c r="S187" i="2"/>
  <c r="R187" i="2"/>
  <c r="Q187" i="2"/>
  <c r="G187" i="2"/>
  <c r="S186" i="2"/>
  <c r="R186" i="2"/>
  <c r="Q186" i="2"/>
  <c r="S185" i="2"/>
  <c r="R185" i="2"/>
  <c r="Q185" i="2"/>
  <c r="G185" i="2"/>
  <c r="S184" i="2"/>
  <c r="R184" i="2"/>
  <c r="Q184" i="2"/>
  <c r="G184" i="2"/>
  <c r="S183" i="2"/>
  <c r="R183" i="2"/>
  <c r="Q183" i="2"/>
  <c r="G183" i="2"/>
  <c r="S182" i="2"/>
  <c r="R182" i="2"/>
  <c r="Q182" i="2"/>
  <c r="G182" i="2"/>
  <c r="S181" i="2"/>
  <c r="R181" i="2"/>
  <c r="Q181" i="2"/>
  <c r="S180" i="2"/>
  <c r="R180" i="2"/>
  <c r="Q180" i="2"/>
  <c r="G180" i="2"/>
  <c r="S179" i="2"/>
  <c r="R179" i="2"/>
  <c r="Q179" i="2"/>
  <c r="G179" i="2"/>
  <c r="S178" i="2"/>
  <c r="R178" i="2"/>
  <c r="Q178" i="2"/>
  <c r="G178" i="2"/>
  <c r="S177" i="2"/>
  <c r="R177" i="2"/>
  <c r="Q177" i="2"/>
  <c r="G177" i="2"/>
  <c r="S176" i="2"/>
  <c r="R176" i="2"/>
  <c r="Q176" i="2"/>
  <c r="G176" i="2"/>
  <c r="S175" i="2"/>
  <c r="R175" i="2"/>
  <c r="Q175" i="2"/>
  <c r="G175" i="2"/>
  <c r="S174" i="2"/>
  <c r="R174" i="2"/>
  <c r="Q174" i="2"/>
  <c r="G174" i="2"/>
  <c r="S173" i="2"/>
  <c r="R173" i="2"/>
  <c r="Q173" i="2"/>
  <c r="G173" i="2"/>
  <c r="S172" i="2"/>
  <c r="R172" i="2"/>
  <c r="Q172" i="2"/>
  <c r="G172" i="2"/>
  <c r="S171" i="2"/>
  <c r="R171" i="2"/>
  <c r="Q171" i="2"/>
  <c r="G171" i="2"/>
  <c r="S170" i="2"/>
  <c r="R170" i="2"/>
  <c r="Q170" i="2"/>
  <c r="G170" i="2"/>
  <c r="S169" i="2"/>
  <c r="R169" i="2"/>
  <c r="Q169" i="2"/>
  <c r="G169" i="2"/>
  <c r="S168" i="2"/>
  <c r="R168" i="2"/>
  <c r="Q168" i="2"/>
  <c r="G168" i="2"/>
  <c r="S167" i="2"/>
  <c r="R167" i="2"/>
  <c r="Q167" i="2"/>
  <c r="G167" i="2"/>
  <c r="S166" i="2"/>
  <c r="R166" i="2"/>
  <c r="Q166" i="2"/>
  <c r="G166" i="2"/>
  <c r="S165" i="2"/>
  <c r="R165" i="2"/>
  <c r="Q165" i="2"/>
  <c r="G165" i="2"/>
  <c r="S164" i="2"/>
  <c r="R164" i="2"/>
  <c r="Q164" i="2"/>
  <c r="G164" i="2"/>
  <c r="S163" i="2"/>
  <c r="R163" i="2"/>
  <c r="Q163" i="2"/>
  <c r="G163" i="2"/>
  <c r="S162" i="2"/>
  <c r="R162" i="2"/>
  <c r="Q162" i="2"/>
  <c r="G162" i="2"/>
  <c r="S161" i="2"/>
  <c r="R161" i="2"/>
  <c r="Q161" i="2"/>
  <c r="G161" i="2"/>
  <c r="S160" i="2"/>
  <c r="R160" i="2"/>
  <c r="Q160" i="2"/>
  <c r="G160" i="2"/>
  <c r="S159" i="2"/>
  <c r="R159" i="2"/>
  <c r="Q159" i="2"/>
  <c r="S158" i="2"/>
  <c r="R158" i="2"/>
  <c r="Q158" i="2"/>
  <c r="S157" i="2"/>
  <c r="R157" i="2"/>
  <c r="Q157" i="2"/>
  <c r="G157" i="2"/>
  <c r="S156" i="2"/>
  <c r="R156" i="2"/>
  <c r="Q156" i="2"/>
  <c r="G156" i="2"/>
  <c r="S155" i="2"/>
  <c r="R155" i="2"/>
  <c r="Q155" i="2"/>
  <c r="G155" i="2"/>
  <c r="S154" i="2"/>
  <c r="R154" i="2"/>
  <c r="Q154" i="2"/>
  <c r="G154" i="2"/>
  <c r="S153" i="2"/>
  <c r="R153" i="2"/>
  <c r="Q153" i="2"/>
  <c r="G153" i="2"/>
  <c r="S152" i="2"/>
  <c r="R152" i="2"/>
  <c r="Q152" i="2"/>
  <c r="G152" i="2"/>
  <c r="S151" i="2"/>
  <c r="R151" i="2"/>
  <c r="Q151" i="2"/>
  <c r="S150" i="2"/>
  <c r="R150" i="2"/>
  <c r="Q150" i="2"/>
  <c r="G150" i="2"/>
  <c r="S149" i="2"/>
  <c r="R149" i="2"/>
  <c r="Q149" i="2"/>
  <c r="G149" i="2"/>
  <c r="S148" i="2"/>
  <c r="R148" i="2"/>
  <c r="Q148" i="2"/>
  <c r="S147" i="2"/>
  <c r="R147" i="2"/>
  <c r="Q147" i="2"/>
  <c r="G147" i="2"/>
  <c r="S146" i="2"/>
  <c r="R146" i="2"/>
  <c r="Q146" i="2"/>
  <c r="G146" i="2"/>
  <c r="S145" i="2"/>
  <c r="R145" i="2"/>
  <c r="Q145" i="2"/>
  <c r="G145" i="2"/>
  <c r="S144" i="2"/>
  <c r="R144" i="2"/>
  <c r="Q144" i="2"/>
  <c r="S143" i="2"/>
  <c r="R143" i="2"/>
  <c r="Q143" i="2"/>
  <c r="G143" i="2"/>
  <c r="S142" i="2"/>
  <c r="R142" i="2"/>
  <c r="Q142" i="2"/>
  <c r="G142" i="2"/>
  <c r="S141" i="2"/>
  <c r="R141" i="2"/>
  <c r="Q141" i="2"/>
  <c r="G141" i="2"/>
  <c r="S140" i="2"/>
  <c r="R140" i="2"/>
  <c r="Q140" i="2"/>
  <c r="G140" i="2"/>
  <c r="S139" i="2"/>
  <c r="R139" i="2"/>
  <c r="Q139" i="2"/>
  <c r="G139" i="2"/>
  <c r="S138" i="2"/>
  <c r="R138" i="2"/>
  <c r="Q138" i="2"/>
  <c r="G138" i="2"/>
  <c r="S137" i="2"/>
  <c r="R137" i="2"/>
  <c r="Q137" i="2"/>
  <c r="G137" i="2"/>
  <c r="S136" i="2"/>
  <c r="R136" i="2"/>
  <c r="Q136" i="2"/>
  <c r="I136" i="2"/>
  <c r="G136" i="2"/>
  <c r="S135" i="2"/>
  <c r="R135" i="2"/>
  <c r="Q135" i="2"/>
  <c r="I135" i="2"/>
  <c r="G135" i="2"/>
  <c r="S134" i="2"/>
  <c r="R134" i="2"/>
  <c r="Q134" i="2"/>
  <c r="G134" i="2"/>
  <c r="S133" i="2"/>
  <c r="R133" i="2"/>
  <c r="Q133" i="2"/>
  <c r="G133" i="2"/>
  <c r="S132" i="2"/>
  <c r="R132" i="2"/>
  <c r="Q132" i="2"/>
  <c r="G132" i="2"/>
  <c r="S131" i="2"/>
  <c r="R131" i="2"/>
  <c r="Q131" i="2"/>
  <c r="G131" i="2"/>
  <c r="S130" i="2"/>
  <c r="R130" i="2"/>
  <c r="Q130" i="2"/>
  <c r="G130" i="2"/>
  <c r="S129" i="2"/>
  <c r="R129" i="2"/>
  <c r="Q129" i="2"/>
  <c r="G129" i="2"/>
  <c r="S128" i="2"/>
  <c r="R128" i="2"/>
  <c r="Q128" i="2"/>
  <c r="I128" i="2"/>
  <c r="S127" i="2"/>
  <c r="R127" i="2"/>
  <c r="Q127" i="2"/>
  <c r="I127" i="2"/>
  <c r="G127" i="2"/>
  <c r="S126" i="2"/>
  <c r="R126" i="2"/>
  <c r="Q126" i="2"/>
  <c r="S125" i="2"/>
  <c r="R125" i="2"/>
  <c r="Q125" i="2"/>
  <c r="S124" i="2"/>
  <c r="R124" i="2"/>
  <c r="Q124" i="2"/>
  <c r="I124" i="2"/>
  <c r="G124" i="2"/>
  <c r="S123" i="2"/>
  <c r="R123" i="2"/>
  <c r="Q123" i="2"/>
  <c r="G123" i="2"/>
  <c r="S122" i="2"/>
  <c r="R122" i="2"/>
  <c r="Q122" i="2"/>
  <c r="G122" i="2"/>
  <c r="S121" i="2"/>
  <c r="R121" i="2"/>
  <c r="Q121" i="2"/>
  <c r="S120" i="2"/>
  <c r="R120" i="2"/>
  <c r="Q120" i="2"/>
  <c r="G120" i="2"/>
  <c r="S119" i="2"/>
  <c r="R119" i="2"/>
  <c r="Q119" i="2"/>
  <c r="G119" i="2"/>
  <c r="S118" i="2"/>
  <c r="R118" i="2"/>
  <c r="Q118" i="2"/>
  <c r="G118" i="2"/>
  <c r="S117" i="2"/>
  <c r="R117" i="2"/>
  <c r="Q117" i="2"/>
  <c r="G117" i="2"/>
  <c r="S116" i="2"/>
  <c r="R116" i="2"/>
  <c r="Q116" i="2"/>
  <c r="I116" i="2"/>
  <c r="G116" i="2"/>
  <c r="S115" i="2"/>
  <c r="R115" i="2"/>
  <c r="Q115" i="2"/>
  <c r="G115" i="2"/>
  <c r="S114" i="2"/>
  <c r="R114" i="2"/>
  <c r="Q114" i="2"/>
  <c r="G114" i="2"/>
  <c r="S113" i="2"/>
  <c r="R113" i="2"/>
  <c r="Q113" i="2"/>
  <c r="G113" i="2"/>
  <c r="S112" i="2"/>
  <c r="R112" i="2"/>
  <c r="Q112" i="2"/>
  <c r="G112" i="2"/>
  <c r="S111" i="2"/>
  <c r="R111" i="2"/>
  <c r="Q111" i="2"/>
  <c r="I111" i="2"/>
  <c r="G111" i="2"/>
  <c r="S110" i="2"/>
  <c r="R110" i="2"/>
  <c r="Q110" i="2"/>
  <c r="G110" i="2"/>
  <c r="S109" i="2"/>
  <c r="R109" i="2"/>
  <c r="Q109" i="2"/>
  <c r="G109" i="2"/>
  <c r="S108" i="2"/>
  <c r="R108" i="2"/>
  <c r="Q108" i="2"/>
  <c r="G108" i="2"/>
  <c r="S107" i="2"/>
  <c r="R107" i="2"/>
  <c r="Q107" i="2"/>
  <c r="G107" i="2"/>
  <c r="S106" i="2"/>
  <c r="R106" i="2"/>
  <c r="Q106" i="2"/>
  <c r="G106" i="2"/>
  <c r="S105" i="2"/>
  <c r="R105" i="2"/>
  <c r="Q105" i="2"/>
  <c r="G105" i="2"/>
  <c r="S104" i="2"/>
  <c r="R104" i="2"/>
  <c r="Q104" i="2"/>
  <c r="G104" i="2"/>
  <c r="S103" i="2"/>
  <c r="R103" i="2"/>
  <c r="Q103" i="2"/>
  <c r="S102" i="2"/>
  <c r="R102" i="2"/>
  <c r="Q102" i="2"/>
  <c r="S101" i="2"/>
  <c r="R101" i="2"/>
  <c r="Q101" i="2"/>
  <c r="S100" i="2"/>
  <c r="R100" i="2"/>
  <c r="Q100" i="2"/>
  <c r="S99" i="2"/>
  <c r="R99" i="2"/>
  <c r="Q99" i="2"/>
  <c r="S98" i="2"/>
  <c r="R98" i="2"/>
  <c r="Q98" i="2"/>
  <c r="S97" i="2"/>
  <c r="R97" i="2"/>
  <c r="Q97" i="2"/>
  <c r="I97" i="2"/>
  <c r="G97" i="2"/>
  <c r="S96" i="2"/>
  <c r="R96" i="2"/>
  <c r="Q96" i="2"/>
  <c r="G96" i="2"/>
  <c r="S95" i="2"/>
  <c r="R95" i="2"/>
  <c r="Q95" i="2"/>
  <c r="G95" i="2"/>
  <c r="S94" i="2"/>
  <c r="R94" i="2"/>
  <c r="Q94" i="2"/>
  <c r="G94" i="2"/>
  <c r="S93" i="2"/>
  <c r="R93" i="2"/>
  <c r="Q93" i="2"/>
  <c r="G93" i="2"/>
  <c r="S92" i="2"/>
  <c r="R92" i="2"/>
  <c r="Q92" i="2"/>
  <c r="G92" i="2"/>
  <c r="S91" i="2"/>
  <c r="R91" i="2"/>
  <c r="Q91" i="2"/>
  <c r="S90" i="2"/>
  <c r="R90" i="2"/>
  <c r="Q90" i="2"/>
  <c r="G90" i="2"/>
  <c r="S89" i="2"/>
  <c r="R89" i="2"/>
  <c r="Q89" i="2"/>
  <c r="G89" i="2"/>
  <c r="S88" i="2"/>
  <c r="R88" i="2"/>
  <c r="Q88" i="2"/>
  <c r="G88" i="2"/>
  <c r="S87" i="2"/>
  <c r="R87" i="2"/>
  <c r="Q87" i="2"/>
  <c r="G87" i="2"/>
  <c r="S86" i="2"/>
  <c r="R86" i="2"/>
  <c r="Q86" i="2"/>
  <c r="G86" i="2"/>
  <c r="S85" i="2"/>
  <c r="R85" i="2"/>
  <c r="Q85" i="2"/>
  <c r="S84" i="2"/>
  <c r="R84" i="2"/>
  <c r="Q84" i="2"/>
  <c r="G84" i="2"/>
  <c r="S83" i="2"/>
  <c r="R83" i="2"/>
  <c r="Q83" i="2"/>
  <c r="G83" i="2"/>
  <c r="S82" i="2"/>
  <c r="R82" i="2"/>
  <c r="Q82" i="2"/>
  <c r="G82" i="2"/>
  <c r="S81" i="2"/>
  <c r="R81" i="2"/>
  <c r="Q81" i="2"/>
  <c r="G81" i="2"/>
  <c r="S80" i="2"/>
  <c r="R80" i="2"/>
  <c r="Q80" i="2"/>
  <c r="G80" i="2"/>
  <c r="S79" i="2"/>
  <c r="R79" i="2"/>
  <c r="Q79" i="2"/>
  <c r="G79" i="2"/>
  <c r="S78" i="2"/>
  <c r="R78" i="2"/>
  <c r="Q78" i="2"/>
  <c r="I78" i="2"/>
  <c r="G78" i="2"/>
  <c r="S77" i="2"/>
  <c r="R77" i="2"/>
  <c r="Q77" i="2"/>
  <c r="G77" i="2"/>
  <c r="S76" i="2"/>
  <c r="R76" i="2"/>
  <c r="Q76" i="2"/>
  <c r="G76" i="2"/>
  <c r="S75" i="2"/>
  <c r="R75" i="2"/>
  <c r="Q75" i="2"/>
  <c r="G75" i="2"/>
  <c r="S74" i="2"/>
  <c r="R74" i="2"/>
  <c r="Q74" i="2"/>
  <c r="I74" i="2"/>
  <c r="G74" i="2"/>
  <c r="S73" i="2"/>
  <c r="R73" i="2"/>
  <c r="Q73" i="2"/>
  <c r="G73" i="2"/>
  <c r="S72" i="2"/>
  <c r="R72" i="2"/>
  <c r="Q72" i="2"/>
  <c r="S71" i="2"/>
  <c r="R71" i="2"/>
  <c r="Q71" i="2"/>
  <c r="G71" i="2"/>
  <c r="S70" i="2"/>
  <c r="R70" i="2"/>
  <c r="Q70" i="2"/>
  <c r="S69" i="2"/>
  <c r="R69" i="2"/>
  <c r="Q69" i="2"/>
  <c r="S68" i="2"/>
  <c r="R68" i="2"/>
  <c r="Q68" i="2"/>
  <c r="I68" i="2"/>
  <c r="G68" i="2"/>
  <c r="S67" i="2"/>
  <c r="R67" i="2"/>
  <c r="Q67" i="2"/>
  <c r="I67" i="2"/>
  <c r="G67" i="2"/>
  <c r="S66" i="2"/>
  <c r="R66" i="2"/>
  <c r="Q66" i="2"/>
  <c r="G66" i="2"/>
  <c r="S65" i="2"/>
  <c r="R65" i="2"/>
  <c r="Q65" i="2"/>
  <c r="G65" i="2"/>
  <c r="S64" i="2"/>
  <c r="R64" i="2"/>
  <c r="Q64" i="2"/>
  <c r="G64" i="2"/>
  <c r="S63" i="2"/>
  <c r="R63" i="2"/>
  <c r="Q63" i="2"/>
  <c r="G63" i="2"/>
  <c r="S62" i="2"/>
  <c r="R62" i="2"/>
  <c r="Q62" i="2"/>
  <c r="G62" i="2"/>
  <c r="S61" i="2"/>
  <c r="R61" i="2"/>
  <c r="Q61" i="2"/>
  <c r="S60" i="2"/>
  <c r="R60" i="2"/>
  <c r="Q60" i="2"/>
  <c r="S59" i="2"/>
  <c r="R59" i="2"/>
  <c r="Q59" i="2"/>
  <c r="S58" i="2"/>
  <c r="R58" i="2"/>
  <c r="Q58" i="2"/>
  <c r="G58" i="2"/>
  <c r="S57" i="2"/>
  <c r="R57" i="2"/>
  <c r="Q57" i="2"/>
  <c r="G57" i="2"/>
  <c r="S56" i="2"/>
  <c r="R56" i="2"/>
  <c r="Q56" i="2"/>
  <c r="G56" i="2"/>
  <c r="S55" i="2"/>
  <c r="R55" i="2"/>
  <c r="Q55" i="2"/>
  <c r="G55" i="2"/>
  <c r="S54" i="2"/>
  <c r="R54" i="2"/>
  <c r="Q54" i="2"/>
  <c r="I54" i="2"/>
  <c r="G54" i="2"/>
  <c r="S53" i="2"/>
  <c r="R53" i="2"/>
  <c r="Q53" i="2"/>
  <c r="G53" i="2"/>
  <c r="S52" i="2"/>
  <c r="R52" i="2"/>
  <c r="Q52" i="2"/>
  <c r="S51" i="2"/>
  <c r="R51" i="2"/>
  <c r="Q51" i="2"/>
  <c r="G51" i="2"/>
  <c r="S50" i="2"/>
  <c r="R50" i="2"/>
  <c r="Q50" i="2"/>
  <c r="G50" i="2"/>
  <c r="S49" i="2"/>
  <c r="R49" i="2"/>
  <c r="Q49" i="2"/>
  <c r="G49" i="2"/>
  <c r="S48" i="2"/>
  <c r="R48" i="2"/>
  <c r="Q48" i="2"/>
  <c r="G48" i="2"/>
  <c r="S47" i="2"/>
  <c r="R47" i="2"/>
  <c r="Q47" i="2"/>
  <c r="G47" i="2"/>
  <c r="S46" i="2"/>
  <c r="R46" i="2"/>
  <c r="Q46" i="2"/>
  <c r="G46" i="2"/>
  <c r="S45" i="2"/>
  <c r="R45" i="2"/>
  <c r="Q45" i="2"/>
  <c r="G45" i="2"/>
  <c r="S44" i="2"/>
  <c r="R44" i="2"/>
  <c r="Q44" i="2"/>
  <c r="G44" i="2"/>
  <c r="S43" i="2"/>
  <c r="R43" i="2"/>
  <c r="Q43" i="2"/>
  <c r="G43" i="2"/>
  <c r="S42" i="2"/>
  <c r="R42" i="2"/>
  <c r="Q42" i="2"/>
  <c r="S41" i="2"/>
  <c r="R41" i="2"/>
  <c r="Q41" i="2"/>
  <c r="S40" i="2"/>
  <c r="R40" i="2"/>
  <c r="Q40" i="2"/>
  <c r="G40" i="2"/>
  <c r="S39" i="2"/>
  <c r="R39" i="2"/>
  <c r="Q39" i="2"/>
  <c r="S38" i="2"/>
  <c r="R38" i="2"/>
  <c r="Q38" i="2"/>
  <c r="G38" i="2"/>
  <c r="S37" i="2"/>
  <c r="R37" i="2"/>
  <c r="Q37" i="2"/>
  <c r="G37" i="2"/>
  <c r="S36" i="2"/>
  <c r="R36" i="2"/>
  <c r="Q36" i="2"/>
  <c r="G36" i="2"/>
  <c r="S35" i="2"/>
  <c r="R35" i="2"/>
  <c r="Q35" i="2"/>
  <c r="I35" i="2"/>
  <c r="G35" i="2"/>
  <c r="S34" i="2"/>
  <c r="R34" i="2"/>
  <c r="Q34" i="2"/>
  <c r="G34" i="2"/>
  <c r="S33" i="2"/>
  <c r="R33" i="2"/>
  <c r="Q33" i="2"/>
  <c r="G33" i="2"/>
  <c r="S32" i="2"/>
  <c r="R32" i="2"/>
  <c r="Q32" i="2"/>
  <c r="G32" i="2"/>
  <c r="S31" i="2"/>
  <c r="R31" i="2"/>
  <c r="Q31" i="2"/>
  <c r="S30" i="2"/>
  <c r="R30" i="2"/>
  <c r="Q30" i="2"/>
  <c r="G30" i="2"/>
  <c r="S29" i="2"/>
  <c r="R29" i="2"/>
  <c r="Q29" i="2"/>
  <c r="S28" i="2"/>
  <c r="R28" i="2"/>
  <c r="Q28" i="2"/>
  <c r="G28" i="2"/>
  <c r="S27" i="2"/>
  <c r="R27" i="2"/>
  <c r="Q27" i="2"/>
  <c r="S26" i="2"/>
  <c r="R26" i="2"/>
  <c r="Q26" i="2"/>
  <c r="G26" i="2"/>
  <c r="S25" i="2"/>
  <c r="R25" i="2"/>
  <c r="Q25" i="2"/>
  <c r="S24" i="2"/>
  <c r="R24" i="2"/>
  <c r="Q24" i="2"/>
  <c r="I24" i="2"/>
  <c r="G24" i="2"/>
  <c r="S23" i="2"/>
  <c r="R23" i="2"/>
  <c r="Q23" i="2"/>
  <c r="I23" i="2"/>
  <c r="G23" i="2"/>
  <c r="S22" i="2"/>
  <c r="R22" i="2"/>
  <c r="Q22" i="2"/>
  <c r="G22" i="2"/>
  <c r="S21" i="2"/>
  <c r="R21" i="2"/>
  <c r="Q21" i="2"/>
  <c r="G21" i="2"/>
  <c r="S20" i="2"/>
  <c r="R20" i="2"/>
  <c r="Q20" i="2"/>
  <c r="G20" i="2"/>
  <c r="S19" i="2"/>
  <c r="R19" i="2"/>
  <c r="Q19" i="2"/>
  <c r="G19" i="2"/>
  <c r="S18" i="2"/>
  <c r="R18" i="2"/>
  <c r="Q18" i="2"/>
  <c r="G18" i="2"/>
  <c r="S17" i="2"/>
  <c r="R17" i="2"/>
  <c r="Q17" i="2"/>
  <c r="G17" i="2"/>
  <c r="S16" i="2"/>
  <c r="R16" i="2"/>
  <c r="Q16" i="2"/>
  <c r="G16" i="2"/>
  <c r="S15" i="2"/>
  <c r="R15" i="2"/>
  <c r="Q15" i="2"/>
  <c r="G15" i="2"/>
  <c r="S14" i="2"/>
  <c r="R14" i="2"/>
  <c r="Q14" i="2"/>
  <c r="I14" i="2"/>
  <c r="G14" i="2"/>
  <c r="S13" i="2"/>
  <c r="R13" i="2"/>
  <c r="Q13" i="2"/>
  <c r="G13" i="2"/>
  <c r="S12" i="2"/>
  <c r="R12" i="2"/>
  <c r="Q12" i="2"/>
  <c r="S11" i="2"/>
  <c r="R11" i="2"/>
  <c r="Q11" i="2"/>
  <c r="S10" i="2"/>
  <c r="R10" i="2"/>
  <c r="Q10" i="2"/>
  <c r="G10" i="2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S881" i="1"/>
  <c r="R881" i="1"/>
  <c r="Q881" i="1"/>
  <c r="S880" i="1"/>
  <c r="R880" i="1"/>
  <c r="Q880" i="1"/>
  <c r="G880" i="1"/>
  <c r="S879" i="1"/>
  <c r="R879" i="1"/>
  <c r="Q879" i="1"/>
  <c r="G879" i="1"/>
  <c r="S878" i="1"/>
  <c r="R878" i="1"/>
  <c r="Q878" i="1"/>
  <c r="G878" i="1"/>
  <c r="S877" i="1"/>
  <c r="R877" i="1"/>
  <c r="Q877" i="1"/>
  <c r="G877" i="1"/>
  <c r="S876" i="1"/>
  <c r="R876" i="1"/>
  <c r="Q876" i="1"/>
  <c r="I876" i="1"/>
  <c r="G876" i="1"/>
  <c r="S875" i="1"/>
  <c r="R875" i="1"/>
  <c r="Q875" i="1"/>
  <c r="G875" i="1"/>
  <c r="S874" i="1"/>
  <c r="R874" i="1"/>
  <c r="Q874" i="1"/>
  <c r="G874" i="1"/>
  <c r="S873" i="1"/>
  <c r="R873" i="1"/>
  <c r="Q873" i="1"/>
  <c r="S872" i="1"/>
  <c r="R872" i="1"/>
  <c r="Q872" i="1"/>
  <c r="G872" i="1"/>
  <c r="S871" i="1"/>
  <c r="R871" i="1"/>
  <c r="Q871" i="1"/>
  <c r="G871" i="1"/>
  <c r="S870" i="1"/>
  <c r="R870" i="1"/>
  <c r="Q870" i="1"/>
  <c r="G870" i="1"/>
  <c r="S869" i="1"/>
  <c r="R869" i="1"/>
  <c r="Q869" i="1"/>
  <c r="G869" i="1"/>
  <c r="S868" i="1"/>
  <c r="R868" i="1"/>
  <c r="Q868" i="1"/>
  <c r="S867" i="1"/>
  <c r="R867" i="1"/>
  <c r="Q867" i="1"/>
  <c r="G867" i="1"/>
  <c r="S866" i="1"/>
  <c r="R866" i="1"/>
  <c r="Q866" i="1"/>
  <c r="S865" i="1"/>
  <c r="R865" i="1"/>
  <c r="Q865" i="1"/>
  <c r="G865" i="1"/>
  <c r="S864" i="1"/>
  <c r="R864" i="1"/>
  <c r="Q864" i="1"/>
  <c r="G864" i="1"/>
  <c r="S863" i="1"/>
  <c r="R863" i="1"/>
  <c r="Q863" i="1"/>
  <c r="I863" i="1"/>
  <c r="G863" i="1"/>
  <c r="S862" i="1"/>
  <c r="R862" i="1"/>
  <c r="Q862" i="1"/>
  <c r="G862" i="1"/>
  <c r="S861" i="1"/>
  <c r="R861" i="1"/>
  <c r="Q861" i="1"/>
  <c r="G861" i="1"/>
  <c r="S860" i="1"/>
  <c r="R860" i="1"/>
  <c r="Q860" i="1"/>
  <c r="G860" i="1"/>
  <c r="S859" i="1"/>
  <c r="R859" i="1"/>
  <c r="Q859" i="1"/>
  <c r="G859" i="1"/>
  <c r="S858" i="1"/>
  <c r="R858" i="1"/>
  <c r="Q858" i="1"/>
  <c r="G858" i="1"/>
  <c r="S857" i="1"/>
  <c r="R857" i="1"/>
  <c r="Q857" i="1"/>
  <c r="S856" i="1"/>
  <c r="R856" i="1"/>
  <c r="Q856" i="1"/>
  <c r="G856" i="1"/>
  <c r="S855" i="1"/>
  <c r="R855" i="1"/>
  <c r="Q855" i="1"/>
  <c r="G855" i="1"/>
  <c r="S854" i="1"/>
  <c r="R854" i="1"/>
  <c r="Q854" i="1"/>
  <c r="G854" i="1"/>
  <c r="S853" i="1"/>
  <c r="R853" i="1"/>
  <c r="Q853" i="1"/>
  <c r="G853" i="1"/>
  <c r="S852" i="1"/>
  <c r="R852" i="1"/>
  <c r="Q852" i="1"/>
  <c r="G852" i="1"/>
  <c r="S851" i="1"/>
  <c r="R851" i="1"/>
  <c r="Q851" i="1"/>
  <c r="G851" i="1"/>
  <c r="S850" i="1"/>
  <c r="R850" i="1"/>
  <c r="Q850" i="1"/>
  <c r="S849" i="1"/>
  <c r="R849" i="1"/>
  <c r="Q849" i="1"/>
  <c r="G849" i="1"/>
  <c r="S848" i="1"/>
  <c r="R848" i="1"/>
  <c r="Q848" i="1"/>
  <c r="G848" i="1"/>
  <c r="S847" i="1"/>
  <c r="R847" i="1"/>
  <c r="Q847" i="1"/>
  <c r="G847" i="1"/>
  <c r="S846" i="1"/>
  <c r="R846" i="1"/>
  <c r="Q846" i="1"/>
  <c r="G846" i="1"/>
  <c r="S845" i="1"/>
  <c r="R845" i="1"/>
  <c r="Q845" i="1"/>
  <c r="I845" i="1"/>
  <c r="G845" i="1"/>
  <c r="S844" i="1"/>
  <c r="R844" i="1"/>
  <c r="Q844" i="1"/>
  <c r="I844" i="1"/>
  <c r="G844" i="1"/>
  <c r="S843" i="1"/>
  <c r="R843" i="1"/>
  <c r="Q843" i="1"/>
  <c r="G843" i="1"/>
  <c r="S842" i="1"/>
  <c r="R842" i="1"/>
  <c r="Q842" i="1"/>
  <c r="G842" i="1"/>
  <c r="S841" i="1"/>
  <c r="R841" i="1"/>
  <c r="Q841" i="1"/>
  <c r="G841" i="1"/>
  <c r="S840" i="1"/>
  <c r="R840" i="1"/>
  <c r="Q840" i="1"/>
  <c r="G840" i="1"/>
  <c r="S839" i="1"/>
  <c r="R839" i="1"/>
  <c r="Q839" i="1"/>
  <c r="G839" i="1"/>
  <c r="S838" i="1"/>
  <c r="R838" i="1"/>
  <c r="Q838" i="1"/>
  <c r="G838" i="1"/>
  <c r="S837" i="1"/>
  <c r="R837" i="1"/>
  <c r="Q837" i="1"/>
  <c r="G837" i="1"/>
  <c r="S836" i="1"/>
  <c r="R836" i="1"/>
  <c r="Q836" i="1"/>
  <c r="G836" i="1"/>
  <c r="S835" i="1"/>
  <c r="R835" i="1"/>
  <c r="Q835" i="1"/>
  <c r="G835" i="1"/>
  <c r="S834" i="1"/>
  <c r="R834" i="1"/>
  <c r="Q834" i="1"/>
  <c r="G834" i="1"/>
  <c r="S833" i="1"/>
  <c r="R833" i="1"/>
  <c r="Q833" i="1"/>
  <c r="G833" i="1"/>
  <c r="S832" i="1"/>
  <c r="R832" i="1"/>
  <c r="Q832" i="1"/>
  <c r="G832" i="1"/>
  <c r="S831" i="1"/>
  <c r="R831" i="1"/>
  <c r="Q831" i="1"/>
  <c r="S830" i="1"/>
  <c r="R830" i="1"/>
  <c r="Q830" i="1"/>
  <c r="G830" i="1"/>
  <c r="S829" i="1"/>
  <c r="R829" i="1"/>
  <c r="Q829" i="1"/>
  <c r="G829" i="1"/>
  <c r="S828" i="1"/>
  <c r="R828" i="1"/>
  <c r="Q828" i="1"/>
  <c r="G828" i="1"/>
  <c r="S827" i="1"/>
  <c r="R827" i="1"/>
  <c r="Q827" i="1"/>
  <c r="I827" i="1"/>
  <c r="G827" i="1"/>
  <c r="S826" i="1"/>
  <c r="R826" i="1"/>
  <c r="Q826" i="1"/>
  <c r="G826" i="1"/>
  <c r="S825" i="1"/>
  <c r="R825" i="1"/>
  <c r="Q825" i="1"/>
  <c r="I825" i="1"/>
  <c r="G825" i="1"/>
  <c r="S824" i="1"/>
  <c r="R824" i="1"/>
  <c r="Q824" i="1"/>
  <c r="I824" i="1"/>
  <c r="G824" i="1"/>
  <c r="S823" i="1"/>
  <c r="R823" i="1"/>
  <c r="Q823" i="1"/>
  <c r="I823" i="1"/>
  <c r="G823" i="1"/>
  <c r="S822" i="1"/>
  <c r="R822" i="1"/>
  <c r="Q822" i="1"/>
  <c r="G822" i="1"/>
  <c r="S821" i="1"/>
  <c r="R821" i="1"/>
  <c r="Q821" i="1"/>
  <c r="G821" i="1"/>
  <c r="S820" i="1"/>
  <c r="R820" i="1"/>
  <c r="Q820" i="1"/>
  <c r="G820" i="1"/>
  <c r="S819" i="1"/>
  <c r="R819" i="1"/>
  <c r="Q819" i="1"/>
  <c r="G819" i="1"/>
  <c r="S818" i="1"/>
  <c r="R818" i="1"/>
  <c r="Q818" i="1"/>
  <c r="G818" i="1"/>
  <c r="S817" i="1"/>
  <c r="R817" i="1"/>
  <c r="Q817" i="1"/>
  <c r="G817" i="1"/>
  <c r="S816" i="1"/>
  <c r="R816" i="1"/>
  <c r="Q816" i="1"/>
  <c r="G816" i="1"/>
  <c r="S815" i="1"/>
  <c r="R815" i="1"/>
  <c r="Q815" i="1"/>
  <c r="G815" i="1"/>
  <c r="S814" i="1"/>
  <c r="R814" i="1"/>
  <c r="Q814" i="1"/>
  <c r="G814" i="1"/>
  <c r="S813" i="1"/>
  <c r="R813" i="1"/>
  <c r="Q813" i="1"/>
  <c r="G813" i="1"/>
  <c r="S812" i="1"/>
  <c r="R812" i="1"/>
  <c r="Q812" i="1"/>
  <c r="I812" i="1"/>
  <c r="G812" i="1"/>
  <c r="S811" i="1"/>
  <c r="R811" i="1"/>
  <c r="Q811" i="1"/>
  <c r="G811" i="1"/>
  <c r="S810" i="1"/>
  <c r="R810" i="1"/>
  <c r="Q810" i="1"/>
  <c r="G810" i="1"/>
  <c r="S809" i="1"/>
  <c r="R809" i="1"/>
  <c r="Q809" i="1"/>
  <c r="G809" i="1"/>
  <c r="S808" i="1"/>
  <c r="R808" i="1"/>
  <c r="Q808" i="1"/>
  <c r="G808" i="1"/>
  <c r="S807" i="1"/>
  <c r="R807" i="1"/>
  <c r="Q807" i="1"/>
  <c r="G807" i="1"/>
  <c r="S806" i="1"/>
  <c r="R806" i="1"/>
  <c r="Q806" i="1"/>
  <c r="G806" i="1"/>
  <c r="S805" i="1"/>
  <c r="R805" i="1"/>
  <c r="Q805" i="1"/>
  <c r="G805" i="1"/>
  <c r="S804" i="1"/>
  <c r="R804" i="1"/>
  <c r="Q804" i="1"/>
  <c r="G804" i="1"/>
  <c r="S803" i="1"/>
  <c r="R803" i="1"/>
  <c r="Q803" i="1"/>
  <c r="G803" i="1"/>
  <c r="S802" i="1"/>
  <c r="R802" i="1"/>
  <c r="Q802" i="1"/>
  <c r="G802" i="1"/>
  <c r="S801" i="1"/>
  <c r="R801" i="1"/>
  <c r="Q801" i="1"/>
  <c r="I801" i="1"/>
  <c r="G801" i="1"/>
  <c r="S800" i="1"/>
  <c r="R800" i="1"/>
  <c r="Q800" i="1"/>
  <c r="G800" i="1"/>
  <c r="S799" i="1"/>
  <c r="R799" i="1"/>
  <c r="Q799" i="1"/>
  <c r="G799" i="1"/>
  <c r="S798" i="1"/>
  <c r="R798" i="1"/>
  <c r="Q798" i="1"/>
  <c r="G798" i="1"/>
  <c r="S797" i="1"/>
  <c r="R797" i="1"/>
  <c r="Q797" i="1"/>
  <c r="G797" i="1"/>
  <c r="S796" i="1"/>
  <c r="R796" i="1"/>
  <c r="Q796" i="1"/>
  <c r="G796" i="1"/>
  <c r="S795" i="1"/>
  <c r="R795" i="1"/>
  <c r="Q795" i="1"/>
  <c r="G795" i="1"/>
  <c r="S794" i="1"/>
  <c r="R794" i="1"/>
  <c r="Q794" i="1"/>
  <c r="I794" i="1"/>
  <c r="G794" i="1"/>
  <c r="S793" i="1"/>
  <c r="R793" i="1"/>
  <c r="Q793" i="1"/>
  <c r="S792" i="1"/>
  <c r="R792" i="1"/>
  <c r="Q792" i="1"/>
  <c r="G792" i="1"/>
  <c r="S791" i="1"/>
  <c r="R791" i="1"/>
  <c r="Q791" i="1"/>
  <c r="G791" i="1"/>
  <c r="S790" i="1"/>
  <c r="R790" i="1"/>
  <c r="Q790" i="1"/>
  <c r="G790" i="1"/>
  <c r="S789" i="1"/>
  <c r="R789" i="1"/>
  <c r="Q789" i="1"/>
  <c r="G789" i="1"/>
  <c r="S788" i="1"/>
  <c r="R788" i="1"/>
  <c r="Q788" i="1"/>
  <c r="G788" i="1"/>
  <c r="S787" i="1"/>
  <c r="R787" i="1"/>
  <c r="Q787" i="1"/>
  <c r="G787" i="1"/>
  <c r="S786" i="1"/>
  <c r="R786" i="1"/>
  <c r="Q786" i="1"/>
  <c r="G786" i="1"/>
  <c r="S785" i="1"/>
  <c r="R785" i="1"/>
  <c r="Q785" i="1"/>
  <c r="G785" i="1"/>
  <c r="S784" i="1"/>
  <c r="R784" i="1"/>
  <c r="Q784" i="1"/>
  <c r="G784" i="1"/>
  <c r="S783" i="1"/>
  <c r="R783" i="1"/>
  <c r="Q783" i="1"/>
  <c r="G783" i="1"/>
  <c r="S782" i="1"/>
  <c r="R782" i="1"/>
  <c r="Q782" i="1"/>
  <c r="G782" i="1"/>
  <c r="S781" i="1"/>
  <c r="R781" i="1"/>
  <c r="Q781" i="1"/>
  <c r="G781" i="1"/>
  <c r="S780" i="1"/>
  <c r="R780" i="1"/>
  <c r="Q780" i="1"/>
  <c r="G780" i="1"/>
  <c r="S779" i="1"/>
  <c r="R779" i="1"/>
  <c r="Q779" i="1"/>
  <c r="G779" i="1"/>
  <c r="S778" i="1"/>
  <c r="R778" i="1"/>
  <c r="Q778" i="1"/>
  <c r="I778" i="1"/>
  <c r="G778" i="1"/>
  <c r="S777" i="1"/>
  <c r="R777" i="1"/>
  <c r="Q777" i="1"/>
  <c r="G777" i="1"/>
  <c r="S776" i="1"/>
  <c r="R776" i="1"/>
  <c r="Q776" i="1"/>
  <c r="G776" i="1"/>
  <c r="S775" i="1"/>
  <c r="R775" i="1"/>
  <c r="Q775" i="1"/>
  <c r="G775" i="1"/>
  <c r="S774" i="1"/>
  <c r="R774" i="1"/>
  <c r="Q774" i="1"/>
  <c r="G774" i="1"/>
  <c r="S773" i="1"/>
  <c r="R773" i="1"/>
  <c r="Q773" i="1"/>
  <c r="G773" i="1"/>
  <c r="S772" i="1"/>
  <c r="R772" i="1"/>
  <c r="Q772" i="1"/>
  <c r="G772" i="1"/>
  <c r="S771" i="1"/>
  <c r="R771" i="1"/>
  <c r="Q771" i="1"/>
  <c r="G771" i="1"/>
  <c r="S770" i="1"/>
  <c r="R770" i="1"/>
  <c r="Q770" i="1"/>
  <c r="G770" i="1"/>
  <c r="S769" i="1"/>
  <c r="R769" i="1"/>
  <c r="Q769" i="1"/>
  <c r="G769" i="1"/>
  <c r="S768" i="1"/>
  <c r="R768" i="1"/>
  <c r="Q768" i="1"/>
  <c r="G768" i="1"/>
  <c r="S767" i="1"/>
  <c r="R767" i="1"/>
  <c r="Q767" i="1"/>
  <c r="G767" i="1"/>
  <c r="S766" i="1"/>
  <c r="R766" i="1"/>
  <c r="Q766" i="1"/>
  <c r="G766" i="1"/>
  <c r="S765" i="1"/>
  <c r="R765" i="1"/>
  <c r="Q765" i="1"/>
  <c r="G765" i="1"/>
  <c r="S764" i="1"/>
  <c r="R764" i="1"/>
  <c r="Q764" i="1"/>
  <c r="G764" i="1"/>
  <c r="S763" i="1"/>
  <c r="R763" i="1"/>
  <c r="Q763" i="1"/>
  <c r="I763" i="1"/>
  <c r="G763" i="1"/>
  <c r="S762" i="1"/>
  <c r="R762" i="1"/>
  <c r="Q762" i="1"/>
  <c r="G762" i="1"/>
  <c r="S761" i="1"/>
  <c r="R761" i="1"/>
  <c r="Q761" i="1"/>
  <c r="G761" i="1"/>
  <c r="S760" i="1"/>
  <c r="R760" i="1"/>
  <c r="Q760" i="1"/>
  <c r="G760" i="1"/>
  <c r="S759" i="1"/>
  <c r="R759" i="1"/>
  <c r="Q759" i="1"/>
  <c r="G759" i="1"/>
  <c r="S758" i="1"/>
  <c r="R758" i="1"/>
  <c r="Q758" i="1"/>
  <c r="G758" i="1"/>
  <c r="Q757" i="1"/>
  <c r="G757" i="1"/>
  <c r="S756" i="1"/>
  <c r="R756" i="1"/>
  <c r="Q756" i="1"/>
  <c r="I756" i="1"/>
  <c r="G756" i="1"/>
  <c r="S755" i="1"/>
  <c r="R755" i="1"/>
  <c r="Q755" i="1"/>
  <c r="G755" i="1"/>
  <c r="S754" i="1"/>
  <c r="R754" i="1"/>
  <c r="Q754" i="1"/>
  <c r="G754" i="1"/>
  <c r="S753" i="1"/>
  <c r="R753" i="1"/>
  <c r="Q753" i="1"/>
  <c r="G753" i="1"/>
  <c r="S752" i="1"/>
  <c r="R752" i="1"/>
  <c r="Q752" i="1"/>
  <c r="G752" i="1"/>
  <c r="S751" i="1"/>
  <c r="R751" i="1"/>
  <c r="Q751" i="1"/>
  <c r="G751" i="1"/>
  <c r="S750" i="1"/>
  <c r="R750" i="1"/>
  <c r="Q750" i="1"/>
  <c r="I750" i="1"/>
  <c r="G750" i="1"/>
  <c r="S749" i="1"/>
  <c r="R749" i="1"/>
  <c r="Q749" i="1"/>
  <c r="G749" i="1"/>
  <c r="S748" i="1"/>
  <c r="R748" i="1"/>
  <c r="Q748" i="1"/>
  <c r="G748" i="1"/>
  <c r="S747" i="1"/>
  <c r="R747" i="1"/>
  <c r="Q747" i="1"/>
  <c r="G747" i="1"/>
  <c r="S746" i="1"/>
  <c r="R746" i="1"/>
  <c r="Q746" i="1"/>
  <c r="G746" i="1"/>
  <c r="S745" i="1"/>
  <c r="R745" i="1"/>
  <c r="Q745" i="1"/>
  <c r="S744" i="1"/>
  <c r="R744" i="1"/>
  <c r="Q744" i="1"/>
  <c r="G744" i="1"/>
  <c r="S743" i="1"/>
  <c r="R743" i="1"/>
  <c r="Q743" i="1"/>
  <c r="G743" i="1"/>
  <c r="S742" i="1"/>
  <c r="R742" i="1"/>
  <c r="Q742" i="1"/>
  <c r="G742" i="1"/>
  <c r="S741" i="1"/>
  <c r="R741" i="1"/>
  <c r="Q741" i="1"/>
  <c r="G741" i="1"/>
  <c r="S740" i="1"/>
  <c r="R740" i="1"/>
  <c r="Q740" i="1"/>
  <c r="G740" i="1"/>
  <c r="S739" i="1"/>
  <c r="R739" i="1"/>
  <c r="Q739" i="1"/>
  <c r="G739" i="1"/>
  <c r="S738" i="1"/>
  <c r="R738" i="1"/>
  <c r="Q738" i="1"/>
  <c r="G738" i="1"/>
  <c r="S737" i="1"/>
  <c r="R737" i="1"/>
  <c r="Q737" i="1"/>
  <c r="G737" i="1"/>
  <c r="S736" i="1"/>
  <c r="R736" i="1"/>
  <c r="Q736" i="1"/>
  <c r="G736" i="1"/>
  <c r="S735" i="1"/>
  <c r="R735" i="1"/>
  <c r="Q735" i="1"/>
  <c r="G735" i="1"/>
  <c r="S734" i="1"/>
  <c r="R734" i="1"/>
  <c r="Q734" i="1"/>
  <c r="G734" i="1"/>
  <c r="S733" i="1"/>
  <c r="R733" i="1"/>
  <c r="Q733" i="1"/>
  <c r="G733" i="1"/>
  <c r="S732" i="1"/>
  <c r="R732" i="1"/>
  <c r="Q732" i="1"/>
  <c r="S731" i="1"/>
  <c r="R731" i="1"/>
  <c r="Q731" i="1"/>
  <c r="G731" i="1"/>
  <c r="S730" i="1"/>
  <c r="R730" i="1"/>
  <c r="Q730" i="1"/>
  <c r="I730" i="1"/>
  <c r="G730" i="1"/>
  <c r="S729" i="1"/>
  <c r="R729" i="1"/>
  <c r="Q729" i="1"/>
  <c r="G729" i="1"/>
  <c r="S728" i="1"/>
  <c r="R728" i="1"/>
  <c r="Q728" i="1"/>
  <c r="G728" i="1"/>
  <c r="S727" i="1"/>
  <c r="R727" i="1"/>
  <c r="Q727" i="1"/>
  <c r="G727" i="1"/>
  <c r="S726" i="1"/>
  <c r="R726" i="1"/>
  <c r="Q726" i="1"/>
  <c r="M726" i="1"/>
  <c r="S725" i="1"/>
  <c r="R725" i="1"/>
  <c r="Q725" i="1"/>
  <c r="I725" i="1"/>
  <c r="G725" i="1"/>
  <c r="S724" i="1"/>
  <c r="R724" i="1"/>
  <c r="Q724" i="1"/>
  <c r="G724" i="1"/>
  <c r="S723" i="1"/>
  <c r="R723" i="1"/>
  <c r="Q723" i="1"/>
  <c r="S722" i="1"/>
  <c r="R722" i="1"/>
  <c r="Q722" i="1"/>
  <c r="S721" i="1"/>
  <c r="R721" i="1"/>
  <c r="Q721" i="1"/>
  <c r="G721" i="1"/>
  <c r="S720" i="1"/>
  <c r="R720" i="1"/>
  <c r="Q720" i="1"/>
  <c r="G720" i="1"/>
  <c r="S719" i="1"/>
  <c r="R719" i="1"/>
  <c r="Q719" i="1"/>
  <c r="I719" i="1"/>
  <c r="G719" i="1"/>
  <c r="S718" i="1"/>
  <c r="R718" i="1"/>
  <c r="Q718" i="1"/>
  <c r="G718" i="1"/>
  <c r="S717" i="1"/>
  <c r="R717" i="1"/>
  <c r="Q717" i="1"/>
  <c r="G717" i="1"/>
  <c r="S716" i="1"/>
  <c r="R716" i="1"/>
  <c r="Q716" i="1"/>
  <c r="G716" i="1"/>
  <c r="S715" i="1"/>
  <c r="R715" i="1"/>
  <c r="Q715" i="1"/>
  <c r="G715" i="1"/>
  <c r="S714" i="1"/>
  <c r="R714" i="1"/>
  <c r="Q714" i="1"/>
  <c r="G714" i="1"/>
  <c r="S713" i="1"/>
  <c r="R713" i="1"/>
  <c r="Q713" i="1"/>
  <c r="G713" i="1"/>
  <c r="S712" i="1"/>
  <c r="R712" i="1"/>
  <c r="Q712" i="1"/>
  <c r="G712" i="1"/>
  <c r="S711" i="1"/>
  <c r="R711" i="1"/>
  <c r="Q711" i="1"/>
  <c r="G711" i="1"/>
  <c r="S710" i="1"/>
  <c r="R710" i="1"/>
  <c r="Q710" i="1"/>
  <c r="S709" i="1"/>
  <c r="R709" i="1"/>
  <c r="Q709" i="1"/>
  <c r="G709" i="1"/>
  <c r="S708" i="1"/>
  <c r="R708" i="1"/>
  <c r="Q708" i="1"/>
  <c r="G708" i="1"/>
  <c r="S707" i="1"/>
  <c r="R707" i="1"/>
  <c r="Q707" i="1"/>
  <c r="G707" i="1"/>
  <c r="S706" i="1"/>
  <c r="R706" i="1"/>
  <c r="Q706" i="1"/>
  <c r="G706" i="1"/>
  <c r="S705" i="1"/>
  <c r="R705" i="1"/>
  <c r="Q705" i="1"/>
  <c r="G705" i="1"/>
  <c r="S704" i="1"/>
  <c r="R704" i="1"/>
  <c r="Q704" i="1"/>
  <c r="G704" i="1"/>
  <c r="S703" i="1"/>
  <c r="R703" i="1"/>
  <c r="Q703" i="1"/>
  <c r="G703" i="1"/>
  <c r="S702" i="1"/>
  <c r="R702" i="1"/>
  <c r="Q702" i="1"/>
  <c r="G702" i="1"/>
  <c r="S701" i="1"/>
  <c r="R701" i="1"/>
  <c r="Q701" i="1"/>
  <c r="G701" i="1"/>
  <c r="S700" i="1"/>
  <c r="R700" i="1"/>
  <c r="Q700" i="1"/>
  <c r="G700" i="1"/>
  <c r="S699" i="1"/>
  <c r="R699" i="1"/>
  <c r="Q699" i="1"/>
  <c r="G699" i="1"/>
  <c r="S698" i="1"/>
  <c r="R698" i="1"/>
  <c r="Q698" i="1"/>
  <c r="I698" i="1"/>
  <c r="G698" i="1"/>
  <c r="S697" i="1"/>
  <c r="R697" i="1"/>
  <c r="Q697" i="1"/>
  <c r="G697" i="1"/>
  <c r="S696" i="1"/>
  <c r="R696" i="1"/>
  <c r="Q696" i="1"/>
  <c r="G696" i="1"/>
  <c r="S695" i="1"/>
  <c r="R695" i="1"/>
  <c r="Q695" i="1"/>
  <c r="G695" i="1"/>
  <c r="S694" i="1"/>
  <c r="R694" i="1"/>
  <c r="Q694" i="1"/>
  <c r="G694" i="1"/>
  <c r="S693" i="1"/>
  <c r="R693" i="1"/>
  <c r="Q693" i="1"/>
  <c r="G693" i="1"/>
  <c r="S692" i="1"/>
  <c r="R692" i="1"/>
  <c r="Q692" i="1"/>
  <c r="G692" i="1"/>
  <c r="S691" i="1"/>
  <c r="R691" i="1"/>
  <c r="Q691" i="1"/>
  <c r="G691" i="1"/>
  <c r="S690" i="1"/>
  <c r="R690" i="1"/>
  <c r="Q690" i="1"/>
  <c r="G690" i="1"/>
  <c r="S689" i="1"/>
  <c r="R689" i="1"/>
  <c r="Q689" i="1"/>
  <c r="S688" i="1"/>
  <c r="R688" i="1"/>
  <c r="Q688" i="1"/>
  <c r="I688" i="1"/>
  <c r="G688" i="1"/>
  <c r="S687" i="1"/>
  <c r="R687" i="1"/>
  <c r="Q687" i="1"/>
  <c r="G687" i="1"/>
  <c r="S686" i="1"/>
  <c r="R686" i="1"/>
  <c r="Q686" i="1"/>
  <c r="G686" i="1"/>
  <c r="S685" i="1"/>
  <c r="R685" i="1"/>
  <c r="Q685" i="1"/>
  <c r="G685" i="1"/>
  <c r="S684" i="1"/>
  <c r="R684" i="1"/>
  <c r="Q684" i="1"/>
  <c r="G684" i="1"/>
  <c r="S683" i="1"/>
  <c r="R683" i="1"/>
  <c r="Q683" i="1"/>
  <c r="G683" i="1"/>
  <c r="S682" i="1"/>
  <c r="R682" i="1"/>
  <c r="Q682" i="1"/>
  <c r="G682" i="1"/>
  <c r="S681" i="1"/>
  <c r="R681" i="1"/>
  <c r="Q681" i="1"/>
  <c r="G681" i="1"/>
  <c r="S680" i="1"/>
  <c r="R680" i="1"/>
  <c r="Q680" i="1"/>
  <c r="G680" i="1"/>
  <c r="S679" i="1"/>
  <c r="R679" i="1"/>
  <c r="Q679" i="1"/>
  <c r="S678" i="1"/>
  <c r="R678" i="1"/>
  <c r="Q678" i="1"/>
  <c r="G678" i="1"/>
  <c r="S677" i="1"/>
  <c r="R677" i="1"/>
  <c r="Q677" i="1"/>
  <c r="G677" i="1"/>
  <c r="S676" i="1"/>
  <c r="R676" i="1"/>
  <c r="Q676" i="1"/>
  <c r="G676" i="1"/>
  <c r="S675" i="1"/>
  <c r="R675" i="1"/>
  <c r="Q675" i="1"/>
  <c r="G675" i="1"/>
  <c r="S674" i="1"/>
  <c r="R674" i="1"/>
  <c r="Q674" i="1"/>
  <c r="G674" i="1"/>
  <c r="S673" i="1"/>
  <c r="R673" i="1"/>
  <c r="Q673" i="1"/>
  <c r="G673" i="1"/>
  <c r="S672" i="1"/>
  <c r="R672" i="1"/>
  <c r="Q672" i="1"/>
  <c r="G672" i="1"/>
  <c r="S671" i="1"/>
  <c r="R671" i="1"/>
  <c r="Q671" i="1"/>
  <c r="S670" i="1"/>
  <c r="R670" i="1"/>
  <c r="Q670" i="1"/>
  <c r="G670" i="1"/>
  <c r="S669" i="1"/>
  <c r="R669" i="1"/>
  <c r="Q669" i="1"/>
  <c r="G669" i="1"/>
  <c r="S668" i="1"/>
  <c r="R668" i="1"/>
  <c r="Q668" i="1"/>
  <c r="G668" i="1"/>
  <c r="S667" i="1"/>
  <c r="R667" i="1"/>
  <c r="Q667" i="1"/>
  <c r="G667" i="1"/>
  <c r="S666" i="1"/>
  <c r="R666" i="1"/>
  <c r="Q666" i="1"/>
  <c r="G666" i="1"/>
  <c r="S665" i="1"/>
  <c r="R665" i="1"/>
  <c r="Q665" i="1"/>
  <c r="G665" i="1"/>
  <c r="S664" i="1"/>
  <c r="R664" i="1"/>
  <c r="Q664" i="1"/>
  <c r="I664" i="1"/>
  <c r="G664" i="1"/>
  <c r="S663" i="1"/>
  <c r="R663" i="1"/>
  <c r="Q663" i="1"/>
  <c r="G663" i="1"/>
  <c r="S662" i="1"/>
  <c r="R662" i="1"/>
  <c r="Q662" i="1"/>
  <c r="S661" i="1"/>
  <c r="R661" i="1"/>
  <c r="Q661" i="1"/>
  <c r="G661" i="1"/>
  <c r="S660" i="1"/>
  <c r="R660" i="1"/>
  <c r="Q660" i="1"/>
  <c r="G660" i="1"/>
  <c r="S659" i="1"/>
  <c r="R659" i="1"/>
  <c r="Q659" i="1"/>
  <c r="S658" i="1"/>
  <c r="R658" i="1"/>
  <c r="Q658" i="1"/>
  <c r="G658" i="1"/>
  <c r="S657" i="1"/>
  <c r="R657" i="1"/>
  <c r="Q657" i="1"/>
  <c r="S656" i="1"/>
  <c r="R656" i="1"/>
  <c r="Q656" i="1"/>
  <c r="G656" i="1"/>
  <c r="S655" i="1"/>
  <c r="R655" i="1"/>
  <c r="Q655" i="1"/>
  <c r="G655" i="1"/>
  <c r="S654" i="1"/>
  <c r="R654" i="1"/>
  <c r="Q654" i="1"/>
  <c r="G654" i="1"/>
  <c r="S653" i="1"/>
  <c r="R653" i="1"/>
  <c r="Q653" i="1"/>
  <c r="G653" i="1"/>
  <c r="S652" i="1"/>
  <c r="R652" i="1"/>
  <c r="Q652" i="1"/>
  <c r="G652" i="1"/>
  <c r="S651" i="1"/>
  <c r="R651" i="1"/>
  <c r="Q651" i="1"/>
  <c r="G651" i="1"/>
  <c r="S650" i="1"/>
  <c r="R650" i="1"/>
  <c r="Q650" i="1"/>
  <c r="S649" i="1"/>
  <c r="R649" i="1"/>
  <c r="Q649" i="1"/>
  <c r="G649" i="1"/>
  <c r="S648" i="1"/>
  <c r="R648" i="1"/>
  <c r="Q648" i="1"/>
  <c r="G648" i="1"/>
  <c r="S647" i="1"/>
  <c r="R647" i="1"/>
  <c r="Q647" i="1"/>
  <c r="S646" i="1"/>
  <c r="R646" i="1"/>
  <c r="Q646" i="1"/>
  <c r="G646" i="1"/>
  <c r="S645" i="1"/>
  <c r="R645" i="1"/>
  <c r="Q645" i="1"/>
  <c r="G645" i="1"/>
  <c r="S644" i="1"/>
  <c r="R644" i="1"/>
  <c r="Q644" i="1"/>
  <c r="G644" i="1"/>
  <c r="S643" i="1"/>
  <c r="R643" i="1"/>
  <c r="Q643" i="1"/>
  <c r="G643" i="1"/>
  <c r="S642" i="1"/>
  <c r="R642" i="1"/>
  <c r="Q642" i="1"/>
  <c r="G642" i="1"/>
  <c r="S641" i="1"/>
  <c r="R641" i="1"/>
  <c r="Q641" i="1"/>
  <c r="G641" i="1"/>
  <c r="S640" i="1"/>
  <c r="R640" i="1"/>
  <c r="Q640" i="1"/>
  <c r="G640" i="1"/>
  <c r="S639" i="1"/>
  <c r="R639" i="1"/>
  <c r="Q639" i="1"/>
  <c r="G639" i="1"/>
  <c r="S638" i="1"/>
  <c r="R638" i="1"/>
  <c r="Q638" i="1"/>
  <c r="G638" i="1"/>
  <c r="S637" i="1"/>
  <c r="R637" i="1"/>
  <c r="Q637" i="1"/>
  <c r="G637" i="1"/>
  <c r="S636" i="1"/>
  <c r="R636" i="1"/>
  <c r="Q636" i="1"/>
  <c r="G636" i="1"/>
  <c r="S635" i="1"/>
  <c r="R635" i="1"/>
  <c r="Q635" i="1"/>
  <c r="G635" i="1"/>
  <c r="S634" i="1"/>
  <c r="R634" i="1"/>
  <c r="Q634" i="1"/>
  <c r="S633" i="1"/>
  <c r="R633" i="1"/>
  <c r="Q633" i="1"/>
  <c r="G633" i="1"/>
  <c r="S632" i="1"/>
  <c r="R632" i="1"/>
  <c r="Q632" i="1"/>
  <c r="G632" i="1"/>
  <c r="S631" i="1"/>
  <c r="R631" i="1"/>
  <c r="Q631" i="1"/>
  <c r="G631" i="1"/>
  <c r="S630" i="1"/>
  <c r="R630" i="1"/>
  <c r="Q630" i="1"/>
  <c r="G630" i="1"/>
  <c r="S629" i="1"/>
  <c r="R629" i="1"/>
  <c r="Q629" i="1"/>
  <c r="S628" i="1"/>
  <c r="R628" i="1"/>
  <c r="Q628" i="1"/>
  <c r="S627" i="1"/>
  <c r="R627" i="1"/>
  <c r="Q627" i="1"/>
  <c r="G627" i="1"/>
  <c r="S626" i="1"/>
  <c r="R626" i="1"/>
  <c r="Q626" i="1"/>
  <c r="G626" i="1"/>
  <c r="S625" i="1"/>
  <c r="R625" i="1"/>
  <c r="Q625" i="1"/>
  <c r="G625" i="1"/>
  <c r="S624" i="1"/>
  <c r="R624" i="1"/>
  <c r="Q624" i="1"/>
  <c r="G624" i="1"/>
  <c r="S623" i="1"/>
  <c r="R623" i="1"/>
  <c r="Q623" i="1"/>
  <c r="G623" i="1"/>
  <c r="S622" i="1"/>
  <c r="R622" i="1"/>
  <c r="Q622" i="1"/>
  <c r="G622" i="1"/>
  <c r="S621" i="1"/>
  <c r="R621" i="1"/>
  <c r="Q621" i="1"/>
  <c r="G621" i="1"/>
  <c r="S620" i="1"/>
  <c r="R620" i="1"/>
  <c r="Q620" i="1"/>
  <c r="G620" i="1"/>
  <c r="S619" i="1"/>
  <c r="R619" i="1"/>
  <c r="Q619" i="1"/>
  <c r="G619" i="1"/>
  <c r="S618" i="1"/>
  <c r="R618" i="1"/>
  <c r="Q618" i="1"/>
  <c r="G618" i="1"/>
  <c r="S617" i="1"/>
  <c r="R617" i="1"/>
  <c r="Q617" i="1"/>
  <c r="G617" i="1"/>
  <c r="S616" i="1"/>
  <c r="R616" i="1"/>
  <c r="Q616" i="1"/>
  <c r="G616" i="1"/>
  <c r="S615" i="1"/>
  <c r="R615" i="1"/>
  <c r="Q615" i="1"/>
  <c r="G615" i="1"/>
  <c r="S614" i="1"/>
  <c r="R614" i="1"/>
  <c r="Q614" i="1"/>
  <c r="G614" i="1"/>
  <c r="S613" i="1"/>
  <c r="R613" i="1"/>
  <c r="Q613" i="1"/>
  <c r="G613" i="1"/>
  <c r="S612" i="1"/>
  <c r="R612" i="1"/>
  <c r="Q612" i="1"/>
  <c r="G612" i="1"/>
  <c r="S611" i="1"/>
  <c r="R611" i="1"/>
  <c r="Q611" i="1"/>
  <c r="G611" i="1"/>
  <c r="S610" i="1"/>
  <c r="R610" i="1"/>
  <c r="Q610" i="1"/>
  <c r="G610" i="1"/>
  <c r="S609" i="1"/>
  <c r="R609" i="1"/>
  <c r="Q609" i="1"/>
  <c r="G609" i="1"/>
  <c r="S608" i="1"/>
  <c r="R608" i="1"/>
  <c r="Q608" i="1"/>
  <c r="G608" i="1"/>
  <c r="S607" i="1"/>
  <c r="R607" i="1"/>
  <c r="Q607" i="1"/>
  <c r="G607" i="1"/>
  <c r="S606" i="1"/>
  <c r="R606" i="1"/>
  <c r="Q606" i="1"/>
  <c r="G606" i="1"/>
  <c r="S605" i="1"/>
  <c r="R605" i="1"/>
  <c r="Q605" i="1"/>
  <c r="I605" i="1"/>
  <c r="G605" i="1"/>
  <c r="S604" i="1"/>
  <c r="R604" i="1"/>
  <c r="Q604" i="1"/>
  <c r="I604" i="1"/>
  <c r="G604" i="1"/>
  <c r="S603" i="1"/>
  <c r="R603" i="1"/>
  <c r="Q603" i="1"/>
  <c r="G603" i="1"/>
  <c r="S602" i="1"/>
  <c r="R602" i="1"/>
  <c r="Q602" i="1"/>
  <c r="G602" i="1"/>
  <c r="S601" i="1"/>
  <c r="R601" i="1"/>
  <c r="Q601" i="1"/>
  <c r="G601" i="1"/>
  <c r="S600" i="1"/>
  <c r="R600" i="1"/>
  <c r="Q600" i="1"/>
  <c r="G600" i="1"/>
  <c r="S599" i="1"/>
  <c r="R599" i="1"/>
  <c r="Q599" i="1"/>
  <c r="G599" i="1"/>
  <c r="S598" i="1"/>
  <c r="R598" i="1"/>
  <c r="Q598" i="1"/>
  <c r="I598" i="1"/>
  <c r="G598" i="1"/>
  <c r="S597" i="1"/>
  <c r="R597" i="1"/>
  <c r="Q597" i="1"/>
  <c r="G597" i="1"/>
  <c r="S596" i="1"/>
  <c r="R596" i="1"/>
  <c r="Q596" i="1"/>
  <c r="G596" i="1"/>
  <c r="S595" i="1"/>
  <c r="R595" i="1"/>
  <c r="Q595" i="1"/>
  <c r="G595" i="1"/>
  <c r="S594" i="1"/>
  <c r="R594" i="1"/>
  <c r="Q594" i="1"/>
  <c r="S593" i="1"/>
  <c r="R593" i="1"/>
  <c r="Q593" i="1"/>
  <c r="S592" i="1"/>
  <c r="R592" i="1"/>
  <c r="Q592" i="1"/>
  <c r="G592" i="1"/>
  <c r="S591" i="1"/>
  <c r="R591" i="1"/>
  <c r="Q591" i="1"/>
  <c r="S590" i="1"/>
  <c r="R590" i="1"/>
  <c r="Q590" i="1"/>
  <c r="G590" i="1"/>
  <c r="S589" i="1"/>
  <c r="R589" i="1"/>
  <c r="Q589" i="1"/>
  <c r="G589" i="1"/>
  <c r="S588" i="1"/>
  <c r="R588" i="1"/>
  <c r="Q588" i="1"/>
  <c r="G588" i="1"/>
  <c r="S587" i="1"/>
  <c r="R587" i="1"/>
  <c r="Q587" i="1"/>
  <c r="G587" i="1"/>
  <c r="S586" i="1"/>
  <c r="R586" i="1"/>
  <c r="Q586" i="1"/>
  <c r="G586" i="1"/>
  <c r="S585" i="1"/>
  <c r="R585" i="1"/>
  <c r="Q585" i="1"/>
  <c r="G585" i="1"/>
  <c r="S584" i="1"/>
  <c r="R584" i="1"/>
  <c r="Q584" i="1"/>
  <c r="I584" i="1"/>
  <c r="G584" i="1"/>
  <c r="S583" i="1"/>
  <c r="R583" i="1"/>
  <c r="Q583" i="1"/>
  <c r="G583" i="1"/>
  <c r="S582" i="1"/>
  <c r="R582" i="1"/>
  <c r="Q582" i="1"/>
  <c r="G582" i="1"/>
  <c r="S581" i="1"/>
  <c r="R581" i="1"/>
  <c r="Q581" i="1"/>
  <c r="G581" i="1"/>
  <c r="S580" i="1"/>
  <c r="R580" i="1"/>
  <c r="Q580" i="1"/>
  <c r="G580" i="1"/>
  <c r="S579" i="1"/>
  <c r="R579" i="1"/>
  <c r="Q579" i="1"/>
  <c r="I579" i="1"/>
  <c r="G579" i="1"/>
  <c r="S578" i="1"/>
  <c r="R578" i="1"/>
  <c r="Q578" i="1"/>
  <c r="G578" i="1"/>
  <c r="S577" i="1"/>
  <c r="R577" i="1"/>
  <c r="Q577" i="1"/>
  <c r="G577" i="1"/>
  <c r="S576" i="1"/>
  <c r="R576" i="1"/>
  <c r="Q576" i="1"/>
  <c r="G576" i="1"/>
  <c r="S575" i="1"/>
  <c r="R575" i="1"/>
  <c r="Q575" i="1"/>
  <c r="G575" i="1"/>
  <c r="S574" i="1"/>
  <c r="R574" i="1"/>
  <c r="Q574" i="1"/>
  <c r="G574" i="1"/>
  <c r="S573" i="1"/>
  <c r="R573" i="1"/>
  <c r="Q573" i="1"/>
  <c r="G573" i="1"/>
  <c r="S572" i="1"/>
  <c r="R572" i="1"/>
  <c r="Q572" i="1"/>
  <c r="G572" i="1"/>
  <c r="S571" i="1"/>
  <c r="R571" i="1"/>
  <c r="Q571" i="1"/>
  <c r="G571" i="1"/>
  <c r="S570" i="1"/>
  <c r="R570" i="1"/>
  <c r="Q570" i="1"/>
  <c r="G570" i="1"/>
  <c r="S569" i="1"/>
  <c r="R569" i="1"/>
  <c r="Q569" i="1"/>
  <c r="G569" i="1"/>
  <c r="S568" i="1"/>
  <c r="R568" i="1"/>
  <c r="Q568" i="1"/>
  <c r="G568" i="1"/>
  <c r="S567" i="1"/>
  <c r="R567" i="1"/>
  <c r="Q567" i="1"/>
  <c r="G567" i="1"/>
  <c r="S566" i="1"/>
  <c r="R566" i="1"/>
  <c r="Q566" i="1"/>
  <c r="G566" i="1"/>
  <c r="S565" i="1"/>
  <c r="R565" i="1"/>
  <c r="Q565" i="1"/>
  <c r="S564" i="1"/>
  <c r="R564" i="1"/>
  <c r="Q564" i="1"/>
  <c r="G564" i="1"/>
  <c r="S563" i="1"/>
  <c r="R563" i="1"/>
  <c r="Q563" i="1"/>
  <c r="G563" i="1"/>
  <c r="S562" i="1"/>
  <c r="R562" i="1"/>
  <c r="Q562" i="1"/>
  <c r="G562" i="1"/>
  <c r="S561" i="1"/>
  <c r="R561" i="1"/>
  <c r="Q561" i="1"/>
  <c r="G561" i="1"/>
  <c r="S560" i="1"/>
  <c r="R560" i="1"/>
  <c r="Q560" i="1"/>
  <c r="G560" i="1"/>
  <c r="S559" i="1"/>
  <c r="R559" i="1"/>
  <c r="Q559" i="1"/>
  <c r="G559" i="1"/>
  <c r="S558" i="1"/>
  <c r="R558" i="1"/>
  <c r="Q558" i="1"/>
  <c r="G558" i="1"/>
  <c r="S557" i="1"/>
  <c r="R557" i="1"/>
  <c r="Q557" i="1"/>
  <c r="S556" i="1"/>
  <c r="R556" i="1"/>
  <c r="Q556" i="1"/>
  <c r="G556" i="1"/>
  <c r="S555" i="1"/>
  <c r="R555" i="1"/>
  <c r="Q555" i="1"/>
  <c r="G555" i="1"/>
  <c r="S554" i="1"/>
  <c r="R554" i="1"/>
  <c r="Q554" i="1"/>
  <c r="I554" i="1"/>
  <c r="G554" i="1"/>
  <c r="S553" i="1"/>
  <c r="R553" i="1"/>
  <c r="Q553" i="1"/>
  <c r="G553" i="1"/>
  <c r="S551" i="1"/>
  <c r="R551" i="1"/>
  <c r="Q551" i="1"/>
  <c r="S550" i="1"/>
  <c r="R550" i="1"/>
  <c r="Q550" i="1"/>
  <c r="G550" i="1"/>
  <c r="S549" i="1"/>
  <c r="R549" i="1"/>
  <c r="Q549" i="1"/>
  <c r="I549" i="1"/>
  <c r="G549" i="1"/>
  <c r="S548" i="1"/>
  <c r="R548" i="1"/>
  <c r="Q548" i="1"/>
  <c r="I548" i="1"/>
  <c r="G548" i="1"/>
  <c r="S547" i="1"/>
  <c r="R547" i="1"/>
  <c r="Q547" i="1"/>
  <c r="I547" i="1"/>
  <c r="G547" i="1"/>
  <c r="S546" i="1"/>
  <c r="R546" i="1"/>
  <c r="Q546" i="1"/>
  <c r="I546" i="1"/>
  <c r="G546" i="1"/>
  <c r="S545" i="1"/>
  <c r="R545" i="1"/>
  <c r="Q545" i="1"/>
  <c r="I545" i="1"/>
  <c r="G545" i="1"/>
  <c r="S544" i="1"/>
  <c r="R544" i="1"/>
  <c r="Q544" i="1"/>
  <c r="G544" i="1"/>
  <c r="S543" i="1"/>
  <c r="R543" i="1"/>
  <c r="Q543" i="1"/>
  <c r="G543" i="1"/>
  <c r="S542" i="1"/>
  <c r="R542" i="1"/>
  <c r="Q542" i="1"/>
  <c r="G542" i="1"/>
  <c r="S541" i="1"/>
  <c r="R541" i="1"/>
  <c r="Q541" i="1"/>
  <c r="G541" i="1"/>
  <c r="S540" i="1"/>
  <c r="R540" i="1"/>
  <c r="Q540" i="1"/>
  <c r="G540" i="1"/>
  <c r="S539" i="1"/>
  <c r="R539" i="1"/>
  <c r="Q539" i="1"/>
  <c r="S538" i="1"/>
  <c r="R538" i="1"/>
  <c r="Q538" i="1"/>
  <c r="S537" i="1"/>
  <c r="R537" i="1"/>
  <c r="Q537" i="1"/>
  <c r="S536" i="1"/>
  <c r="R536" i="1"/>
  <c r="Q536" i="1"/>
  <c r="G536" i="1"/>
  <c r="S535" i="1"/>
  <c r="R535" i="1"/>
  <c r="Q535" i="1"/>
  <c r="S534" i="1"/>
  <c r="R534" i="1"/>
  <c r="Q534" i="1"/>
  <c r="I534" i="1"/>
  <c r="G534" i="1"/>
  <c r="S533" i="1"/>
  <c r="R533" i="1"/>
  <c r="Q533" i="1"/>
  <c r="I533" i="1"/>
  <c r="G533" i="1"/>
  <c r="S532" i="1"/>
  <c r="R532" i="1"/>
  <c r="Q532" i="1"/>
  <c r="G532" i="1"/>
  <c r="S531" i="1"/>
  <c r="R531" i="1"/>
  <c r="Q531" i="1"/>
  <c r="G531" i="1"/>
  <c r="S530" i="1"/>
  <c r="R530" i="1"/>
  <c r="Q530" i="1"/>
  <c r="G530" i="1"/>
  <c r="S529" i="1"/>
  <c r="R529" i="1"/>
  <c r="Q529" i="1"/>
  <c r="G529" i="1"/>
  <c r="S528" i="1"/>
  <c r="R528" i="1"/>
  <c r="Q528" i="1"/>
  <c r="G528" i="1"/>
  <c r="S527" i="1"/>
  <c r="R527" i="1"/>
  <c r="Q527" i="1"/>
  <c r="G527" i="1"/>
  <c r="S526" i="1"/>
  <c r="R526" i="1"/>
  <c r="Q526" i="1"/>
  <c r="G526" i="1"/>
  <c r="S525" i="1"/>
  <c r="R525" i="1"/>
  <c r="Q525" i="1"/>
  <c r="G525" i="1"/>
  <c r="S524" i="1"/>
  <c r="R524" i="1"/>
  <c r="Q524" i="1"/>
  <c r="G524" i="1"/>
  <c r="S523" i="1"/>
  <c r="R523" i="1"/>
  <c r="Q523" i="1"/>
  <c r="G523" i="1"/>
  <c r="S522" i="1"/>
  <c r="R522" i="1"/>
  <c r="Q522" i="1"/>
  <c r="S521" i="1"/>
  <c r="R521" i="1"/>
  <c r="Q521" i="1"/>
  <c r="G521" i="1"/>
  <c r="S520" i="1"/>
  <c r="R520" i="1"/>
  <c r="Q520" i="1"/>
  <c r="G520" i="1"/>
  <c r="S519" i="1"/>
  <c r="R519" i="1"/>
  <c r="Q519" i="1"/>
  <c r="G519" i="1"/>
  <c r="S518" i="1"/>
  <c r="R518" i="1"/>
  <c r="Q518" i="1"/>
  <c r="G518" i="1"/>
  <c r="S517" i="1"/>
  <c r="R517" i="1"/>
  <c r="Q517" i="1"/>
  <c r="G517" i="1"/>
  <c r="S516" i="1"/>
  <c r="R516" i="1"/>
  <c r="Q516" i="1"/>
  <c r="G516" i="1"/>
  <c r="S515" i="1"/>
  <c r="R515" i="1"/>
  <c r="Q515" i="1"/>
  <c r="I515" i="1"/>
  <c r="G515" i="1"/>
  <c r="S514" i="1"/>
  <c r="R514" i="1"/>
  <c r="Q514" i="1"/>
  <c r="G514" i="1"/>
  <c r="S513" i="1"/>
  <c r="R513" i="1"/>
  <c r="Q513" i="1"/>
  <c r="G513" i="1"/>
  <c r="S512" i="1"/>
  <c r="R512" i="1"/>
  <c r="Q512" i="1"/>
  <c r="I512" i="1"/>
  <c r="G512" i="1"/>
  <c r="S511" i="1"/>
  <c r="R511" i="1"/>
  <c r="Q511" i="1"/>
  <c r="O511" i="1"/>
  <c r="S510" i="1"/>
  <c r="R510" i="1"/>
  <c r="Q510" i="1"/>
  <c r="G510" i="1"/>
  <c r="S509" i="1"/>
  <c r="R509" i="1"/>
  <c r="Q509" i="1"/>
  <c r="G509" i="1"/>
  <c r="S508" i="1"/>
  <c r="R508" i="1"/>
  <c r="Q508" i="1"/>
  <c r="G508" i="1"/>
  <c r="S507" i="1"/>
  <c r="R507" i="1"/>
  <c r="Q507" i="1"/>
  <c r="G507" i="1"/>
  <c r="S506" i="1"/>
  <c r="R506" i="1"/>
  <c r="Q506" i="1"/>
  <c r="G506" i="1"/>
  <c r="S505" i="1"/>
  <c r="R505" i="1"/>
  <c r="Q505" i="1"/>
  <c r="G505" i="1"/>
  <c r="S504" i="1"/>
  <c r="R504" i="1"/>
  <c r="Q504" i="1"/>
  <c r="G504" i="1"/>
  <c r="S503" i="1"/>
  <c r="R503" i="1"/>
  <c r="Q503" i="1"/>
  <c r="S502" i="1"/>
  <c r="R502" i="1"/>
  <c r="Q502" i="1"/>
  <c r="G502" i="1"/>
  <c r="S501" i="1"/>
  <c r="R501" i="1"/>
  <c r="Q501" i="1"/>
  <c r="G501" i="1"/>
  <c r="S500" i="1"/>
  <c r="R500" i="1"/>
  <c r="Q500" i="1"/>
  <c r="G500" i="1"/>
  <c r="S499" i="1"/>
  <c r="R499" i="1"/>
  <c r="Q499" i="1"/>
  <c r="G499" i="1"/>
  <c r="S498" i="1"/>
  <c r="R498" i="1"/>
  <c r="Q498" i="1"/>
  <c r="G498" i="1"/>
  <c r="S497" i="1"/>
  <c r="R497" i="1"/>
  <c r="Q497" i="1"/>
  <c r="G497" i="1"/>
  <c r="S496" i="1"/>
  <c r="R496" i="1"/>
  <c r="Q496" i="1"/>
  <c r="G496" i="1"/>
  <c r="S495" i="1"/>
  <c r="R495" i="1"/>
  <c r="Q495" i="1"/>
  <c r="G495" i="1"/>
  <c r="S494" i="1"/>
  <c r="R494" i="1"/>
  <c r="Q494" i="1"/>
  <c r="G494" i="1"/>
  <c r="S493" i="1"/>
  <c r="R493" i="1"/>
  <c r="Q493" i="1"/>
  <c r="G493" i="1"/>
  <c r="S492" i="1"/>
  <c r="R492" i="1"/>
  <c r="Q492" i="1"/>
  <c r="G492" i="1"/>
  <c r="S491" i="1"/>
  <c r="R491" i="1"/>
  <c r="Q491" i="1"/>
  <c r="G491" i="1"/>
  <c r="S490" i="1"/>
  <c r="R490" i="1"/>
  <c r="Q490" i="1"/>
  <c r="G490" i="1"/>
  <c r="S489" i="1"/>
  <c r="R489" i="1"/>
  <c r="Q489" i="1"/>
  <c r="G489" i="1"/>
  <c r="S488" i="1"/>
  <c r="R488" i="1"/>
  <c r="Q488" i="1"/>
  <c r="G488" i="1"/>
  <c r="S487" i="1"/>
  <c r="R487" i="1"/>
  <c r="Q487" i="1"/>
  <c r="G487" i="1"/>
  <c r="S486" i="1"/>
  <c r="R486" i="1"/>
  <c r="Q486" i="1"/>
  <c r="G486" i="1"/>
  <c r="S485" i="1"/>
  <c r="R485" i="1"/>
  <c r="Q485" i="1"/>
  <c r="G485" i="1"/>
  <c r="S484" i="1"/>
  <c r="R484" i="1"/>
  <c r="Q484" i="1"/>
  <c r="G484" i="1"/>
  <c r="S483" i="1"/>
  <c r="R483" i="1"/>
  <c r="Q483" i="1"/>
  <c r="G483" i="1"/>
  <c r="S482" i="1"/>
  <c r="R482" i="1"/>
  <c r="Q482" i="1"/>
  <c r="I482" i="1"/>
  <c r="G482" i="1"/>
  <c r="S481" i="1"/>
  <c r="R481" i="1"/>
  <c r="Q481" i="1"/>
  <c r="G481" i="1"/>
  <c r="S480" i="1"/>
  <c r="R480" i="1"/>
  <c r="Q480" i="1"/>
  <c r="G480" i="1"/>
  <c r="S479" i="1"/>
  <c r="R479" i="1"/>
  <c r="Q479" i="1"/>
  <c r="S478" i="1"/>
  <c r="R478" i="1"/>
  <c r="Q478" i="1"/>
  <c r="G478" i="1"/>
  <c r="S477" i="1"/>
  <c r="R477" i="1"/>
  <c r="Q477" i="1"/>
  <c r="I477" i="1"/>
  <c r="G477" i="1"/>
  <c r="S476" i="1"/>
  <c r="R476" i="1"/>
  <c r="Q476" i="1"/>
  <c r="S475" i="1"/>
  <c r="R475" i="1"/>
  <c r="Q475" i="1"/>
  <c r="G475" i="1"/>
  <c r="S474" i="1"/>
  <c r="R474" i="1"/>
  <c r="Q474" i="1"/>
  <c r="G474" i="1"/>
  <c r="S473" i="1"/>
  <c r="R473" i="1"/>
  <c r="Q473" i="1"/>
  <c r="G473" i="1"/>
  <c r="S472" i="1"/>
  <c r="R472" i="1"/>
  <c r="Q472" i="1"/>
  <c r="G472" i="1"/>
  <c r="S471" i="1"/>
  <c r="R471" i="1"/>
  <c r="Q471" i="1"/>
  <c r="S470" i="1"/>
  <c r="R470" i="1"/>
  <c r="Q470" i="1"/>
  <c r="G470" i="1"/>
  <c r="S469" i="1"/>
  <c r="R469" i="1"/>
  <c r="Q469" i="1"/>
  <c r="G469" i="1"/>
  <c r="S468" i="1"/>
  <c r="R468" i="1"/>
  <c r="Q468" i="1"/>
  <c r="G468" i="1"/>
  <c r="S467" i="1"/>
  <c r="R467" i="1"/>
  <c r="Q467" i="1"/>
  <c r="G467" i="1"/>
  <c r="S466" i="1"/>
  <c r="R466" i="1"/>
  <c r="Q466" i="1"/>
  <c r="G466" i="1"/>
  <c r="S465" i="1"/>
  <c r="R465" i="1"/>
  <c r="Q465" i="1"/>
  <c r="G465" i="1"/>
  <c r="S464" i="1"/>
  <c r="R464" i="1"/>
  <c r="Q464" i="1"/>
  <c r="G464" i="1"/>
  <c r="S463" i="1"/>
  <c r="R463" i="1"/>
  <c r="Q463" i="1"/>
  <c r="G463" i="1"/>
  <c r="S462" i="1"/>
  <c r="R462" i="1"/>
  <c r="Q462" i="1"/>
  <c r="G462" i="1"/>
  <c r="S461" i="1"/>
  <c r="R461" i="1"/>
  <c r="Q461" i="1"/>
  <c r="G461" i="1"/>
  <c r="S460" i="1"/>
  <c r="R460" i="1"/>
  <c r="Q460" i="1"/>
  <c r="G460" i="1"/>
  <c r="S459" i="1"/>
  <c r="R459" i="1"/>
  <c r="Q459" i="1"/>
  <c r="G459" i="1"/>
  <c r="S458" i="1"/>
  <c r="R458" i="1"/>
  <c r="Q458" i="1"/>
  <c r="G458" i="1"/>
  <c r="S457" i="1"/>
  <c r="R457" i="1"/>
  <c r="Q457" i="1"/>
  <c r="G457" i="1"/>
  <c r="S456" i="1"/>
  <c r="R456" i="1"/>
  <c r="Q456" i="1"/>
  <c r="G456" i="1"/>
  <c r="S455" i="1"/>
  <c r="R455" i="1"/>
  <c r="Q455" i="1"/>
  <c r="G455" i="1"/>
  <c r="S454" i="1"/>
  <c r="R454" i="1"/>
  <c r="Q454" i="1"/>
  <c r="I454" i="1"/>
  <c r="G454" i="1"/>
  <c r="S453" i="1"/>
  <c r="R453" i="1"/>
  <c r="Q453" i="1"/>
  <c r="I453" i="1"/>
  <c r="G453" i="1"/>
  <c r="S452" i="1"/>
  <c r="R452" i="1"/>
  <c r="Q452" i="1"/>
  <c r="G452" i="1"/>
  <c r="S451" i="1"/>
  <c r="R451" i="1"/>
  <c r="Q451" i="1"/>
  <c r="I451" i="1"/>
  <c r="G451" i="1"/>
  <c r="S450" i="1"/>
  <c r="R450" i="1"/>
  <c r="Q450" i="1"/>
  <c r="G450" i="1"/>
  <c r="S449" i="1"/>
  <c r="R449" i="1"/>
  <c r="Q449" i="1"/>
  <c r="G449" i="1"/>
  <c r="S448" i="1"/>
  <c r="R448" i="1"/>
  <c r="Q448" i="1"/>
  <c r="G448" i="1"/>
  <c r="S447" i="1"/>
  <c r="R447" i="1"/>
  <c r="Q447" i="1"/>
  <c r="G447" i="1"/>
  <c r="S446" i="1"/>
  <c r="R446" i="1"/>
  <c r="Q446" i="1"/>
  <c r="G446" i="1"/>
  <c r="S445" i="1"/>
  <c r="R445" i="1"/>
  <c r="Q445" i="1"/>
  <c r="G445" i="1"/>
  <c r="S444" i="1"/>
  <c r="R444" i="1"/>
  <c r="Q444" i="1"/>
  <c r="G444" i="1"/>
  <c r="S443" i="1"/>
  <c r="R443" i="1"/>
  <c r="Q443" i="1"/>
  <c r="G443" i="1"/>
  <c r="S442" i="1"/>
  <c r="R442" i="1"/>
  <c r="Q442" i="1"/>
  <c r="G442" i="1"/>
  <c r="S441" i="1"/>
  <c r="R441" i="1"/>
  <c r="Q441" i="1"/>
  <c r="G441" i="1"/>
  <c r="S440" i="1"/>
  <c r="R440" i="1"/>
  <c r="Q440" i="1"/>
  <c r="G440" i="1"/>
  <c r="S439" i="1"/>
  <c r="R439" i="1"/>
  <c r="Q439" i="1"/>
  <c r="G439" i="1"/>
  <c r="S438" i="1"/>
  <c r="R438" i="1"/>
  <c r="Q438" i="1"/>
  <c r="G438" i="1"/>
  <c r="S437" i="1"/>
  <c r="R437" i="1"/>
  <c r="Q437" i="1"/>
  <c r="G437" i="1"/>
  <c r="S436" i="1"/>
  <c r="R436" i="1"/>
  <c r="Q436" i="1"/>
  <c r="G436" i="1"/>
  <c r="S435" i="1"/>
  <c r="R435" i="1"/>
  <c r="Q435" i="1"/>
  <c r="G435" i="1"/>
  <c r="S434" i="1"/>
  <c r="R434" i="1"/>
  <c r="Q434" i="1"/>
  <c r="G434" i="1"/>
  <c r="S433" i="1"/>
  <c r="R433" i="1"/>
  <c r="Q433" i="1"/>
  <c r="S432" i="1"/>
  <c r="R432" i="1"/>
  <c r="Q432" i="1"/>
  <c r="S431" i="1"/>
  <c r="R431" i="1"/>
  <c r="Q431" i="1"/>
  <c r="G431" i="1"/>
  <c r="S430" i="1"/>
  <c r="R430" i="1"/>
  <c r="Q430" i="1"/>
  <c r="S429" i="1"/>
  <c r="R429" i="1"/>
  <c r="Q429" i="1"/>
  <c r="G429" i="1"/>
  <c r="S428" i="1"/>
  <c r="R428" i="1"/>
  <c r="Q428" i="1"/>
  <c r="G428" i="1"/>
  <c r="S427" i="1"/>
  <c r="R427" i="1"/>
  <c r="Q427" i="1"/>
  <c r="G427" i="1"/>
  <c r="S426" i="1"/>
  <c r="R426" i="1"/>
  <c r="Q426" i="1"/>
  <c r="G426" i="1"/>
  <c r="S425" i="1"/>
  <c r="R425" i="1"/>
  <c r="Q425" i="1"/>
  <c r="G425" i="1"/>
  <c r="S424" i="1"/>
  <c r="R424" i="1"/>
  <c r="Q424" i="1"/>
  <c r="G424" i="1"/>
  <c r="S423" i="1"/>
  <c r="R423" i="1"/>
  <c r="Q423" i="1"/>
  <c r="I423" i="1"/>
  <c r="G423" i="1"/>
  <c r="S422" i="1"/>
  <c r="R422" i="1"/>
  <c r="Q422" i="1"/>
  <c r="G422" i="1"/>
  <c r="S421" i="1"/>
  <c r="R421" i="1"/>
  <c r="Q421" i="1"/>
  <c r="S420" i="1"/>
  <c r="R420" i="1"/>
  <c r="Q420" i="1"/>
  <c r="S419" i="1"/>
  <c r="R419" i="1"/>
  <c r="Q419" i="1"/>
  <c r="S418" i="1"/>
  <c r="R418" i="1"/>
  <c r="Q418" i="1"/>
  <c r="S417" i="1"/>
  <c r="R417" i="1"/>
  <c r="Q417" i="1"/>
  <c r="G417" i="1"/>
  <c r="S416" i="1"/>
  <c r="R416" i="1"/>
  <c r="Q416" i="1"/>
  <c r="G416" i="1"/>
  <c r="S415" i="1"/>
  <c r="R415" i="1"/>
  <c r="Q415" i="1"/>
  <c r="G415" i="1"/>
  <c r="S414" i="1"/>
  <c r="R414" i="1"/>
  <c r="Q414" i="1"/>
  <c r="G414" i="1"/>
  <c r="S413" i="1"/>
  <c r="R413" i="1"/>
  <c r="Q413" i="1"/>
  <c r="G413" i="1"/>
  <c r="S412" i="1"/>
  <c r="R412" i="1"/>
  <c r="Q412" i="1"/>
  <c r="G412" i="1"/>
  <c r="S411" i="1"/>
  <c r="R411" i="1"/>
  <c r="Q411" i="1"/>
  <c r="G411" i="1"/>
  <c r="S410" i="1"/>
  <c r="R410" i="1"/>
  <c r="Q410" i="1"/>
  <c r="G410" i="1"/>
  <c r="S409" i="1"/>
  <c r="R409" i="1"/>
  <c r="Q409" i="1"/>
  <c r="G409" i="1"/>
  <c r="S408" i="1"/>
  <c r="R408" i="1"/>
  <c r="Q408" i="1"/>
  <c r="S407" i="1"/>
  <c r="R407" i="1"/>
  <c r="Q407" i="1"/>
  <c r="S406" i="1"/>
  <c r="R406" i="1"/>
  <c r="Q406" i="1"/>
  <c r="I406" i="1"/>
  <c r="G406" i="1"/>
  <c r="S405" i="1"/>
  <c r="R405" i="1"/>
  <c r="Q405" i="1"/>
  <c r="G405" i="1"/>
  <c r="S404" i="1"/>
  <c r="R404" i="1"/>
  <c r="Q404" i="1"/>
  <c r="G404" i="1"/>
  <c r="S403" i="1"/>
  <c r="R403" i="1"/>
  <c r="Q403" i="1"/>
  <c r="G403" i="1"/>
  <c r="S402" i="1"/>
  <c r="R402" i="1"/>
  <c r="Q402" i="1"/>
  <c r="G402" i="1"/>
  <c r="S401" i="1"/>
  <c r="R401" i="1"/>
  <c r="Q401" i="1"/>
  <c r="G401" i="1"/>
  <c r="S400" i="1"/>
  <c r="R400" i="1"/>
  <c r="Q400" i="1"/>
  <c r="S399" i="1"/>
  <c r="R399" i="1"/>
  <c r="Q399" i="1"/>
  <c r="G399" i="1"/>
  <c r="S398" i="1"/>
  <c r="R398" i="1"/>
  <c r="Q398" i="1"/>
  <c r="G398" i="1"/>
  <c r="S397" i="1"/>
  <c r="R397" i="1"/>
  <c r="Q397" i="1"/>
  <c r="G397" i="1"/>
  <c r="S396" i="1"/>
  <c r="R396" i="1"/>
  <c r="Q396" i="1"/>
  <c r="G396" i="1"/>
  <c r="S395" i="1"/>
  <c r="R395" i="1"/>
  <c r="Q395" i="1"/>
  <c r="S394" i="1"/>
  <c r="R394" i="1"/>
  <c r="Q394" i="1"/>
  <c r="S393" i="1"/>
  <c r="R393" i="1"/>
  <c r="Q393" i="1"/>
  <c r="S392" i="1"/>
  <c r="R392" i="1"/>
  <c r="Q392" i="1"/>
  <c r="S391" i="1"/>
  <c r="R391" i="1"/>
  <c r="Q391" i="1"/>
  <c r="S390" i="1"/>
  <c r="R390" i="1"/>
  <c r="Q390" i="1"/>
  <c r="S389" i="1"/>
  <c r="R389" i="1"/>
  <c r="Q389" i="1"/>
  <c r="S388" i="1"/>
  <c r="R388" i="1"/>
  <c r="Q388" i="1"/>
  <c r="S387" i="1"/>
  <c r="R387" i="1"/>
  <c r="Q387" i="1"/>
  <c r="S386" i="1"/>
  <c r="R386" i="1"/>
  <c r="Q386" i="1"/>
  <c r="S385" i="1"/>
  <c r="R385" i="1"/>
  <c r="Q385" i="1"/>
  <c r="S384" i="1"/>
  <c r="R384" i="1"/>
  <c r="Q384" i="1"/>
  <c r="S383" i="1"/>
  <c r="R383" i="1"/>
  <c r="Q383" i="1"/>
  <c r="S382" i="1"/>
  <c r="R382" i="1"/>
  <c r="Q382" i="1"/>
  <c r="S381" i="1"/>
  <c r="R381" i="1"/>
  <c r="Q381" i="1"/>
  <c r="S380" i="1"/>
  <c r="R380" i="1"/>
  <c r="Q380" i="1"/>
  <c r="I380" i="1"/>
  <c r="G380" i="1"/>
  <c r="S379" i="1"/>
  <c r="R379" i="1"/>
  <c r="Q379" i="1"/>
  <c r="G379" i="1"/>
  <c r="S378" i="1"/>
  <c r="R378" i="1"/>
  <c r="Q378" i="1"/>
  <c r="I378" i="1"/>
  <c r="G378" i="1"/>
  <c r="S377" i="1"/>
  <c r="R377" i="1"/>
  <c r="Q377" i="1"/>
  <c r="G377" i="1"/>
  <c r="S376" i="1"/>
  <c r="R376" i="1"/>
  <c r="Q376" i="1"/>
  <c r="G376" i="1"/>
  <c r="S375" i="1"/>
  <c r="R375" i="1"/>
  <c r="Q375" i="1"/>
  <c r="I375" i="1"/>
  <c r="G375" i="1"/>
  <c r="S374" i="1"/>
  <c r="R374" i="1"/>
  <c r="Q374" i="1"/>
  <c r="G374" i="1"/>
  <c r="S373" i="1"/>
  <c r="R373" i="1"/>
  <c r="Q373" i="1"/>
  <c r="G373" i="1"/>
  <c r="S372" i="1"/>
  <c r="R372" i="1"/>
  <c r="Q372" i="1"/>
  <c r="G372" i="1"/>
  <c r="S371" i="1"/>
  <c r="R371" i="1"/>
  <c r="Q371" i="1"/>
  <c r="G371" i="1"/>
  <c r="S370" i="1"/>
  <c r="R370" i="1"/>
  <c r="Q370" i="1"/>
  <c r="G370" i="1"/>
  <c r="S369" i="1"/>
  <c r="R369" i="1"/>
  <c r="Q369" i="1"/>
  <c r="G369" i="1"/>
  <c r="S368" i="1"/>
  <c r="R368" i="1"/>
  <c r="Q368" i="1"/>
  <c r="G368" i="1"/>
  <c r="S367" i="1"/>
  <c r="R367" i="1"/>
  <c r="Q367" i="1"/>
  <c r="S366" i="1"/>
  <c r="R366" i="1"/>
  <c r="Q366" i="1"/>
  <c r="G366" i="1"/>
  <c r="S365" i="1"/>
  <c r="R365" i="1"/>
  <c r="Q365" i="1"/>
  <c r="S364" i="1"/>
  <c r="R364" i="1"/>
  <c r="Q364" i="1"/>
  <c r="G364" i="1"/>
  <c r="S363" i="1"/>
  <c r="R363" i="1"/>
  <c r="Q363" i="1"/>
  <c r="G363" i="1"/>
  <c r="S362" i="1"/>
  <c r="R362" i="1"/>
  <c r="Q362" i="1"/>
  <c r="G362" i="1"/>
  <c r="S361" i="1"/>
  <c r="R361" i="1"/>
  <c r="Q361" i="1"/>
  <c r="G361" i="1"/>
  <c r="S360" i="1"/>
  <c r="R360" i="1"/>
  <c r="Q360" i="1"/>
  <c r="G360" i="1"/>
  <c r="S359" i="1"/>
  <c r="R359" i="1"/>
  <c r="Q359" i="1"/>
  <c r="S358" i="1"/>
  <c r="R358" i="1"/>
  <c r="Q358" i="1"/>
  <c r="I358" i="1"/>
  <c r="G358" i="1"/>
  <c r="S357" i="1"/>
  <c r="R357" i="1"/>
  <c r="Q357" i="1"/>
  <c r="I357" i="1"/>
  <c r="G357" i="1"/>
  <c r="S356" i="1"/>
  <c r="R356" i="1"/>
  <c r="Q356" i="1"/>
  <c r="S355" i="1"/>
  <c r="R355" i="1"/>
  <c r="Q355" i="1"/>
  <c r="S354" i="1"/>
  <c r="R354" i="1"/>
  <c r="Q354" i="1"/>
  <c r="S353" i="1"/>
  <c r="R353" i="1"/>
  <c r="Q353" i="1"/>
  <c r="S352" i="1"/>
  <c r="R352" i="1"/>
  <c r="Q352" i="1"/>
  <c r="S351" i="1"/>
  <c r="R351" i="1"/>
  <c r="Q351" i="1"/>
  <c r="S350" i="1"/>
  <c r="R350" i="1"/>
  <c r="Q350" i="1"/>
  <c r="S349" i="1"/>
  <c r="R349" i="1"/>
  <c r="Q349" i="1"/>
  <c r="S348" i="1"/>
  <c r="R348" i="1"/>
  <c r="Q348" i="1"/>
  <c r="S347" i="1"/>
  <c r="R347" i="1"/>
  <c r="Q347" i="1"/>
  <c r="S346" i="1"/>
  <c r="R346" i="1"/>
  <c r="Q346" i="1"/>
  <c r="S345" i="1"/>
  <c r="R345" i="1"/>
  <c r="Q345" i="1"/>
  <c r="S344" i="1"/>
  <c r="R344" i="1"/>
  <c r="Q344" i="1"/>
  <c r="S343" i="1"/>
  <c r="R343" i="1"/>
  <c r="Q343" i="1"/>
  <c r="S342" i="1"/>
  <c r="R342" i="1"/>
  <c r="Q342" i="1"/>
  <c r="S341" i="1"/>
  <c r="R341" i="1"/>
  <c r="Q341" i="1"/>
  <c r="S340" i="1"/>
  <c r="R340" i="1"/>
  <c r="Q340" i="1"/>
  <c r="S339" i="1"/>
  <c r="R339" i="1"/>
  <c r="Q339" i="1"/>
  <c r="S338" i="1"/>
  <c r="R338" i="1"/>
  <c r="Q338" i="1"/>
  <c r="S337" i="1"/>
  <c r="R337" i="1"/>
  <c r="Q337" i="1"/>
  <c r="S336" i="1"/>
  <c r="R336" i="1"/>
  <c r="Q336" i="1"/>
  <c r="G336" i="1"/>
  <c r="S335" i="1"/>
  <c r="R335" i="1"/>
  <c r="Q335" i="1"/>
  <c r="G335" i="1"/>
  <c r="S334" i="1"/>
  <c r="R334" i="1"/>
  <c r="Q334" i="1"/>
  <c r="G334" i="1"/>
  <c r="S333" i="1"/>
  <c r="R333" i="1"/>
  <c r="Q333" i="1"/>
  <c r="I333" i="1"/>
  <c r="G333" i="1"/>
  <c r="S332" i="1"/>
  <c r="R332" i="1"/>
  <c r="Q332" i="1"/>
  <c r="G332" i="1"/>
  <c r="S331" i="1"/>
  <c r="R331" i="1"/>
  <c r="Q331" i="1"/>
  <c r="G331" i="1"/>
  <c r="S330" i="1"/>
  <c r="R330" i="1"/>
  <c r="Q330" i="1"/>
  <c r="G330" i="1"/>
  <c r="S329" i="1"/>
  <c r="R329" i="1"/>
  <c r="Q329" i="1"/>
  <c r="G329" i="1"/>
  <c r="S328" i="1"/>
  <c r="R328" i="1"/>
  <c r="Q328" i="1"/>
  <c r="I328" i="1"/>
  <c r="G328" i="1"/>
  <c r="S327" i="1"/>
  <c r="R327" i="1"/>
  <c r="Q327" i="1"/>
  <c r="S326" i="1"/>
  <c r="R326" i="1"/>
  <c r="Q326" i="1"/>
  <c r="S325" i="1"/>
  <c r="R325" i="1"/>
  <c r="Q325" i="1"/>
  <c r="S324" i="1"/>
  <c r="R324" i="1"/>
  <c r="Q324" i="1"/>
  <c r="S323" i="1"/>
  <c r="R323" i="1"/>
  <c r="Q323" i="1"/>
  <c r="G323" i="1"/>
  <c r="S322" i="1"/>
  <c r="R322" i="1"/>
  <c r="Q322" i="1"/>
  <c r="G322" i="1"/>
  <c r="S321" i="1"/>
  <c r="R321" i="1"/>
  <c r="Q321" i="1"/>
  <c r="G321" i="1"/>
  <c r="S320" i="1"/>
  <c r="R320" i="1"/>
  <c r="Q320" i="1"/>
  <c r="G320" i="1"/>
  <c r="S319" i="1"/>
  <c r="R319" i="1"/>
  <c r="Q319" i="1"/>
  <c r="G319" i="1"/>
  <c r="S318" i="1"/>
  <c r="R318" i="1"/>
  <c r="Q318" i="1"/>
  <c r="G318" i="1"/>
  <c r="S317" i="1"/>
  <c r="R317" i="1"/>
  <c r="Q317" i="1"/>
  <c r="G317" i="1"/>
  <c r="S316" i="1"/>
  <c r="R316" i="1"/>
  <c r="Q316" i="1"/>
  <c r="G316" i="1"/>
  <c r="S315" i="1"/>
  <c r="R315" i="1"/>
  <c r="Q315" i="1"/>
  <c r="G315" i="1"/>
  <c r="S314" i="1"/>
  <c r="R314" i="1"/>
  <c r="Q314" i="1"/>
  <c r="G314" i="1"/>
  <c r="S313" i="1"/>
  <c r="R313" i="1"/>
  <c r="Q313" i="1"/>
  <c r="G313" i="1"/>
  <c r="S312" i="1"/>
  <c r="R312" i="1"/>
  <c r="Q312" i="1"/>
  <c r="G312" i="1"/>
  <c r="S311" i="1"/>
  <c r="R311" i="1"/>
  <c r="Q311" i="1"/>
  <c r="G311" i="1"/>
  <c r="S310" i="1"/>
  <c r="R310" i="1"/>
  <c r="Q310" i="1"/>
  <c r="G310" i="1"/>
  <c r="S309" i="1"/>
  <c r="R309" i="1"/>
  <c r="Q309" i="1"/>
  <c r="G309" i="1"/>
  <c r="S308" i="1"/>
  <c r="R308" i="1"/>
  <c r="Q308" i="1"/>
  <c r="G308" i="1"/>
  <c r="S307" i="1"/>
  <c r="R307" i="1"/>
  <c r="Q307" i="1"/>
  <c r="S306" i="1"/>
  <c r="R306" i="1"/>
  <c r="Q306" i="1"/>
  <c r="G306" i="1"/>
  <c r="S305" i="1"/>
  <c r="R305" i="1"/>
  <c r="Q305" i="1"/>
  <c r="S304" i="1"/>
  <c r="R304" i="1"/>
  <c r="Q304" i="1"/>
  <c r="G304" i="1"/>
  <c r="S303" i="1"/>
  <c r="R303" i="1"/>
  <c r="Q303" i="1"/>
  <c r="G303" i="1"/>
  <c r="S302" i="1"/>
  <c r="R302" i="1"/>
  <c r="Q302" i="1"/>
  <c r="I302" i="1"/>
  <c r="G302" i="1"/>
  <c r="S301" i="1"/>
  <c r="R301" i="1"/>
  <c r="Q301" i="1"/>
  <c r="I301" i="1"/>
  <c r="G301" i="1"/>
  <c r="S300" i="1"/>
  <c r="R300" i="1"/>
  <c r="Q300" i="1"/>
  <c r="S299" i="1"/>
  <c r="R299" i="1"/>
  <c r="Q299" i="1"/>
  <c r="G299" i="1"/>
  <c r="S298" i="1"/>
  <c r="R298" i="1"/>
  <c r="Q298" i="1"/>
  <c r="G298" i="1"/>
  <c r="S297" i="1"/>
  <c r="R297" i="1"/>
  <c r="Q297" i="1"/>
  <c r="G297" i="1"/>
  <c r="S296" i="1"/>
  <c r="R296" i="1"/>
  <c r="Q296" i="1"/>
  <c r="G296" i="1"/>
  <c r="S295" i="1"/>
  <c r="R295" i="1"/>
  <c r="Q295" i="1"/>
  <c r="G295" i="1"/>
  <c r="S294" i="1"/>
  <c r="R294" i="1"/>
  <c r="Q294" i="1"/>
  <c r="S293" i="1"/>
  <c r="R293" i="1"/>
  <c r="Q293" i="1"/>
  <c r="S292" i="1"/>
  <c r="R292" i="1"/>
  <c r="Q292" i="1"/>
  <c r="S291" i="1"/>
  <c r="R291" i="1"/>
  <c r="Q291" i="1"/>
  <c r="S290" i="1"/>
  <c r="R290" i="1"/>
  <c r="Q290" i="1"/>
  <c r="S289" i="1"/>
  <c r="R289" i="1"/>
  <c r="Q289" i="1"/>
  <c r="S288" i="1"/>
  <c r="R288" i="1"/>
  <c r="Q288" i="1"/>
  <c r="G288" i="1"/>
  <c r="S287" i="1"/>
  <c r="R287" i="1"/>
  <c r="Q287" i="1"/>
  <c r="G287" i="1"/>
  <c r="S286" i="1"/>
  <c r="R286" i="1"/>
  <c r="Q286" i="1"/>
  <c r="S285" i="1"/>
  <c r="R285" i="1"/>
  <c r="Q285" i="1"/>
  <c r="G285" i="1"/>
  <c r="S284" i="1"/>
  <c r="R284" i="1"/>
  <c r="Q284" i="1"/>
  <c r="G284" i="1"/>
  <c r="S283" i="1"/>
  <c r="R283" i="1"/>
  <c r="Q283" i="1"/>
  <c r="G283" i="1"/>
  <c r="S282" i="1"/>
  <c r="R282" i="1"/>
  <c r="Q282" i="1"/>
  <c r="I282" i="1"/>
  <c r="G282" i="1"/>
  <c r="S281" i="1"/>
  <c r="R281" i="1"/>
  <c r="Q281" i="1"/>
  <c r="G281" i="1"/>
  <c r="S280" i="1"/>
  <c r="R280" i="1"/>
  <c r="Q280" i="1"/>
  <c r="G280" i="1"/>
  <c r="S279" i="1"/>
  <c r="R279" i="1"/>
  <c r="Q279" i="1"/>
  <c r="G279" i="1"/>
  <c r="S278" i="1"/>
  <c r="R278" i="1"/>
  <c r="Q278" i="1"/>
  <c r="G278" i="1"/>
  <c r="S277" i="1"/>
  <c r="R277" i="1"/>
  <c r="Q277" i="1"/>
  <c r="I277" i="1"/>
  <c r="G277" i="1"/>
  <c r="S276" i="1"/>
  <c r="R276" i="1"/>
  <c r="Q276" i="1"/>
  <c r="G276" i="1"/>
  <c r="S275" i="1"/>
  <c r="R275" i="1"/>
  <c r="Q275" i="1"/>
  <c r="I275" i="1"/>
  <c r="G275" i="1"/>
  <c r="S274" i="1"/>
  <c r="R274" i="1"/>
  <c r="Q274" i="1"/>
  <c r="G274" i="1"/>
  <c r="S273" i="1"/>
  <c r="R273" i="1"/>
  <c r="Q273" i="1"/>
  <c r="G273" i="1"/>
  <c r="S272" i="1"/>
  <c r="R272" i="1"/>
  <c r="Q272" i="1"/>
  <c r="G272" i="1"/>
  <c r="S271" i="1"/>
  <c r="R271" i="1"/>
  <c r="Q271" i="1"/>
  <c r="S270" i="1"/>
  <c r="R270" i="1"/>
  <c r="Q270" i="1"/>
  <c r="G270" i="1"/>
  <c r="S269" i="1"/>
  <c r="R269" i="1"/>
  <c r="Q269" i="1"/>
  <c r="G269" i="1"/>
  <c r="S268" i="1"/>
  <c r="R268" i="1"/>
  <c r="Q268" i="1"/>
  <c r="G268" i="1"/>
  <c r="S267" i="1"/>
  <c r="R267" i="1"/>
  <c r="Q267" i="1"/>
  <c r="I267" i="1"/>
  <c r="G267" i="1"/>
  <c r="S266" i="1"/>
  <c r="R266" i="1"/>
  <c r="Q266" i="1"/>
  <c r="S265" i="1"/>
  <c r="R265" i="1"/>
  <c r="Q265" i="1"/>
  <c r="S264" i="1"/>
  <c r="R264" i="1"/>
  <c r="Q264" i="1"/>
  <c r="S263" i="1"/>
  <c r="R263" i="1"/>
  <c r="Q263" i="1"/>
  <c r="G263" i="1"/>
  <c r="S262" i="1"/>
  <c r="R262" i="1"/>
  <c r="Q262" i="1"/>
  <c r="G262" i="1"/>
  <c r="S261" i="1"/>
  <c r="R261" i="1"/>
  <c r="Q261" i="1"/>
  <c r="S260" i="1"/>
  <c r="R260" i="1"/>
  <c r="Q260" i="1"/>
  <c r="S259" i="1"/>
  <c r="R259" i="1"/>
  <c r="Q259" i="1"/>
  <c r="S258" i="1"/>
  <c r="R258" i="1"/>
  <c r="Q258" i="1"/>
  <c r="S257" i="1"/>
  <c r="R257" i="1"/>
  <c r="Q257" i="1"/>
  <c r="S256" i="1"/>
  <c r="R256" i="1"/>
  <c r="Q256" i="1"/>
  <c r="I256" i="1"/>
  <c r="G256" i="1"/>
  <c r="S255" i="1"/>
  <c r="R255" i="1"/>
  <c r="Q255" i="1"/>
  <c r="G255" i="1"/>
  <c r="S254" i="1"/>
  <c r="R254" i="1"/>
  <c r="Q254" i="1"/>
  <c r="G254" i="1"/>
  <c r="S253" i="1"/>
  <c r="R253" i="1"/>
  <c r="Q253" i="1"/>
  <c r="G253" i="1"/>
  <c r="S252" i="1"/>
  <c r="R252" i="1"/>
  <c r="Q252" i="1"/>
  <c r="G252" i="1"/>
  <c r="S251" i="1"/>
  <c r="R251" i="1"/>
  <c r="Q251" i="1"/>
  <c r="G251" i="1"/>
  <c r="S250" i="1"/>
  <c r="R250" i="1"/>
  <c r="Q250" i="1"/>
  <c r="G250" i="1"/>
  <c r="S249" i="1"/>
  <c r="R249" i="1"/>
  <c r="Q249" i="1"/>
  <c r="I249" i="1"/>
  <c r="G249" i="1"/>
  <c r="S248" i="1"/>
  <c r="R248" i="1"/>
  <c r="Q248" i="1"/>
  <c r="S247" i="1"/>
  <c r="R247" i="1"/>
  <c r="Q247" i="1"/>
  <c r="G247" i="1"/>
  <c r="S246" i="1"/>
  <c r="R246" i="1"/>
  <c r="Q246" i="1"/>
  <c r="G246" i="1"/>
  <c r="S245" i="1"/>
  <c r="R245" i="1"/>
  <c r="Q245" i="1"/>
  <c r="S244" i="1"/>
  <c r="R244" i="1"/>
  <c r="Q244" i="1"/>
  <c r="G244" i="1"/>
  <c r="S243" i="1"/>
  <c r="R243" i="1"/>
  <c r="Q243" i="1"/>
  <c r="G243" i="1"/>
  <c r="S242" i="1"/>
  <c r="R242" i="1"/>
  <c r="Q242" i="1"/>
  <c r="S241" i="1"/>
  <c r="R241" i="1"/>
  <c r="Q241" i="1"/>
  <c r="G241" i="1"/>
  <c r="S240" i="1"/>
  <c r="R240" i="1"/>
  <c r="Q240" i="1"/>
  <c r="G240" i="1"/>
  <c r="S239" i="1"/>
  <c r="R239" i="1"/>
  <c r="Q239" i="1"/>
  <c r="G239" i="1"/>
  <c r="S238" i="1"/>
  <c r="R238" i="1"/>
  <c r="Q238" i="1"/>
  <c r="S237" i="1"/>
  <c r="R237" i="1"/>
  <c r="Q237" i="1"/>
  <c r="G237" i="1"/>
  <c r="S236" i="1"/>
  <c r="R236" i="1"/>
  <c r="Q236" i="1"/>
  <c r="G236" i="1"/>
  <c r="S235" i="1"/>
  <c r="R235" i="1"/>
  <c r="Q235" i="1"/>
  <c r="G235" i="1"/>
  <c r="S234" i="1"/>
  <c r="R234" i="1"/>
  <c r="Q234" i="1"/>
  <c r="G234" i="1"/>
  <c r="S233" i="1"/>
  <c r="R233" i="1"/>
  <c r="Q233" i="1"/>
  <c r="G233" i="1"/>
  <c r="S232" i="1"/>
  <c r="R232" i="1"/>
  <c r="Q232" i="1"/>
  <c r="G232" i="1"/>
  <c r="S231" i="1"/>
  <c r="R231" i="1"/>
  <c r="Q231" i="1"/>
  <c r="S230" i="1"/>
  <c r="R230" i="1"/>
  <c r="Q230" i="1"/>
  <c r="G230" i="1"/>
  <c r="S229" i="1"/>
  <c r="R229" i="1"/>
  <c r="Q229" i="1"/>
  <c r="S228" i="1"/>
  <c r="R228" i="1"/>
  <c r="Q228" i="1"/>
  <c r="S227" i="1"/>
  <c r="R227" i="1"/>
  <c r="Q227" i="1"/>
  <c r="S226" i="1"/>
  <c r="R226" i="1"/>
  <c r="Q226" i="1"/>
  <c r="S225" i="1"/>
  <c r="R225" i="1"/>
  <c r="Q225" i="1"/>
  <c r="S224" i="1"/>
  <c r="R224" i="1"/>
  <c r="Q224" i="1"/>
  <c r="S223" i="1"/>
  <c r="R223" i="1"/>
  <c r="Q223" i="1"/>
  <c r="S222" i="1"/>
  <c r="R222" i="1"/>
  <c r="Q222" i="1"/>
  <c r="S221" i="1"/>
  <c r="R221" i="1"/>
  <c r="Q221" i="1"/>
  <c r="S220" i="1"/>
  <c r="R220" i="1"/>
  <c r="Q220" i="1"/>
  <c r="G220" i="1"/>
  <c r="S219" i="1"/>
  <c r="R219" i="1"/>
  <c r="Q219" i="1"/>
  <c r="G219" i="1"/>
  <c r="S218" i="1"/>
  <c r="R218" i="1"/>
  <c r="Q218" i="1"/>
  <c r="G218" i="1"/>
  <c r="S217" i="1"/>
  <c r="R217" i="1"/>
  <c r="Q217" i="1"/>
  <c r="G217" i="1"/>
  <c r="S216" i="1"/>
  <c r="R216" i="1"/>
  <c r="Q216" i="1"/>
  <c r="G216" i="1"/>
  <c r="S215" i="1"/>
  <c r="R215" i="1"/>
  <c r="Q215" i="1"/>
  <c r="S214" i="1"/>
  <c r="R214" i="1"/>
  <c r="Q214" i="1"/>
  <c r="S213" i="1"/>
  <c r="R213" i="1"/>
  <c r="Q213" i="1"/>
  <c r="S212" i="1"/>
  <c r="R212" i="1"/>
  <c r="Q212" i="1"/>
  <c r="S211" i="1"/>
  <c r="R211" i="1"/>
  <c r="Q211" i="1"/>
  <c r="S210" i="1"/>
  <c r="R210" i="1"/>
  <c r="Q210" i="1"/>
  <c r="S209" i="1"/>
  <c r="R209" i="1"/>
  <c r="Q209" i="1"/>
  <c r="G209" i="1"/>
  <c r="S208" i="1"/>
  <c r="R208" i="1"/>
  <c r="Q208" i="1"/>
  <c r="S207" i="1"/>
  <c r="R207" i="1"/>
  <c r="Q207" i="1"/>
  <c r="S206" i="1"/>
  <c r="R206" i="1"/>
  <c r="Q206" i="1"/>
  <c r="S205" i="1"/>
  <c r="R205" i="1"/>
  <c r="Q205" i="1"/>
  <c r="S204" i="1"/>
  <c r="R204" i="1"/>
  <c r="Q204" i="1"/>
  <c r="S203" i="1"/>
  <c r="R203" i="1"/>
  <c r="Q203" i="1"/>
  <c r="G203" i="1"/>
  <c r="S202" i="1"/>
  <c r="R202" i="1"/>
  <c r="Q202" i="1"/>
  <c r="G202" i="1"/>
  <c r="S201" i="1"/>
  <c r="R201" i="1"/>
  <c r="Q201" i="1"/>
  <c r="S200" i="1"/>
  <c r="R200" i="1"/>
  <c r="Q200" i="1"/>
  <c r="S199" i="1"/>
  <c r="R199" i="1"/>
  <c r="Q199" i="1"/>
  <c r="G199" i="1"/>
  <c r="S198" i="1"/>
  <c r="R198" i="1"/>
  <c r="Q198" i="1"/>
  <c r="S197" i="1"/>
  <c r="R197" i="1"/>
  <c r="Q197" i="1"/>
  <c r="G197" i="1"/>
  <c r="S196" i="1"/>
  <c r="R196" i="1"/>
  <c r="Q196" i="1"/>
  <c r="I196" i="1"/>
  <c r="G196" i="1"/>
  <c r="S195" i="1"/>
  <c r="R195" i="1"/>
  <c r="Q195" i="1"/>
  <c r="G195" i="1"/>
  <c r="S194" i="1"/>
  <c r="R194" i="1"/>
  <c r="Q194" i="1"/>
  <c r="S193" i="1"/>
  <c r="R193" i="1"/>
  <c r="Q193" i="1"/>
  <c r="S192" i="1"/>
  <c r="R192" i="1"/>
  <c r="Q192" i="1"/>
  <c r="S191" i="1"/>
  <c r="R191" i="1"/>
  <c r="Q191" i="1"/>
  <c r="S190" i="1"/>
  <c r="R190" i="1"/>
  <c r="Q190" i="1"/>
  <c r="S189" i="1"/>
  <c r="R189" i="1"/>
  <c r="Q189" i="1"/>
  <c r="S188" i="1"/>
  <c r="R188" i="1"/>
  <c r="Q188" i="1"/>
  <c r="S187" i="1"/>
  <c r="R187" i="1"/>
  <c r="Q187" i="1"/>
  <c r="S186" i="1"/>
  <c r="R186" i="1"/>
  <c r="Q186" i="1"/>
  <c r="S185" i="1"/>
  <c r="R185" i="1"/>
  <c r="Q185" i="1"/>
  <c r="S183" i="1"/>
  <c r="R183" i="1"/>
  <c r="Q183" i="1"/>
  <c r="G183" i="1"/>
  <c r="S182" i="1"/>
  <c r="R182" i="1"/>
  <c r="Q182" i="1"/>
  <c r="G182" i="1"/>
  <c r="S181" i="1"/>
  <c r="R181" i="1"/>
  <c r="Q181" i="1"/>
  <c r="S180" i="1"/>
  <c r="R180" i="1"/>
  <c r="Q180" i="1"/>
  <c r="S179" i="1"/>
  <c r="R179" i="1"/>
  <c r="Q179" i="1"/>
  <c r="S178" i="1"/>
  <c r="R178" i="1"/>
  <c r="Q178" i="1"/>
  <c r="S177" i="1"/>
  <c r="R177" i="1"/>
  <c r="Q177" i="1"/>
  <c r="S176" i="1"/>
  <c r="R176" i="1"/>
  <c r="Q176" i="1"/>
  <c r="S175" i="1"/>
  <c r="R175" i="1"/>
  <c r="Q175" i="1"/>
  <c r="S174" i="1"/>
  <c r="R174" i="1"/>
  <c r="Q174" i="1"/>
  <c r="S173" i="1"/>
  <c r="R173" i="1"/>
  <c r="Q173" i="1"/>
  <c r="S172" i="1"/>
  <c r="R172" i="1"/>
  <c r="Q172" i="1"/>
  <c r="S171" i="1"/>
  <c r="R171" i="1"/>
  <c r="Q171" i="1"/>
  <c r="G171" i="1"/>
  <c r="S170" i="1"/>
  <c r="R170" i="1"/>
  <c r="Q170" i="1"/>
  <c r="G170" i="1"/>
  <c r="S169" i="1"/>
  <c r="R169" i="1"/>
  <c r="Q169" i="1"/>
  <c r="G169" i="1"/>
  <c r="S168" i="1"/>
  <c r="R168" i="1"/>
  <c r="Q168" i="1"/>
  <c r="I168" i="1"/>
  <c r="G168" i="1"/>
  <c r="S167" i="1"/>
  <c r="R167" i="1"/>
  <c r="Q167" i="1"/>
  <c r="G167" i="1"/>
  <c r="S166" i="1"/>
  <c r="R166" i="1"/>
  <c r="Q166" i="1"/>
  <c r="S165" i="1"/>
  <c r="R165" i="1"/>
  <c r="Q165" i="1"/>
  <c r="S164" i="1"/>
  <c r="R164" i="1"/>
  <c r="Q164" i="1"/>
  <c r="F164" i="1"/>
  <c r="S163" i="1"/>
  <c r="R163" i="1"/>
  <c r="Q163" i="1"/>
  <c r="S162" i="1"/>
  <c r="R162" i="1"/>
  <c r="Q162" i="1"/>
  <c r="G162" i="1"/>
  <c r="S161" i="1"/>
  <c r="R161" i="1"/>
  <c r="Q161" i="1"/>
  <c r="S160" i="1"/>
  <c r="R160" i="1"/>
  <c r="Q160" i="1"/>
  <c r="S159" i="1"/>
  <c r="R159" i="1"/>
  <c r="Q159" i="1"/>
  <c r="S158" i="1"/>
  <c r="R158" i="1"/>
  <c r="Q158" i="1"/>
  <c r="S157" i="1"/>
  <c r="R157" i="1"/>
  <c r="Q157" i="1"/>
  <c r="S156" i="1"/>
  <c r="R156" i="1"/>
  <c r="Q156" i="1"/>
  <c r="G156" i="1"/>
  <c r="S155" i="1"/>
  <c r="R155" i="1"/>
  <c r="Q155" i="1"/>
  <c r="G155" i="1"/>
  <c r="S154" i="1"/>
  <c r="R154" i="1"/>
  <c r="Q154" i="1"/>
  <c r="G154" i="1"/>
  <c r="S153" i="1"/>
  <c r="R153" i="1"/>
  <c r="Q153" i="1"/>
  <c r="G153" i="1"/>
  <c r="S152" i="1"/>
  <c r="R152" i="1"/>
  <c r="Q152" i="1"/>
  <c r="S151" i="1"/>
  <c r="R151" i="1"/>
  <c r="Q151" i="1"/>
  <c r="G151" i="1"/>
  <c r="S150" i="1"/>
  <c r="R150" i="1"/>
  <c r="Q150" i="1"/>
  <c r="S149" i="1"/>
  <c r="R149" i="1"/>
  <c r="Q149" i="1"/>
  <c r="S148" i="1"/>
  <c r="R148" i="1"/>
  <c r="Q148" i="1"/>
  <c r="G148" i="1"/>
  <c r="S147" i="1"/>
  <c r="R147" i="1"/>
  <c r="Q147" i="1"/>
  <c r="G147" i="1"/>
  <c r="S146" i="1"/>
  <c r="R146" i="1"/>
  <c r="Q146" i="1"/>
  <c r="G146" i="1"/>
  <c r="S145" i="1"/>
  <c r="R145" i="1"/>
  <c r="Q145" i="1"/>
  <c r="G145" i="1"/>
  <c r="S144" i="1"/>
  <c r="R144" i="1"/>
  <c r="Q144" i="1"/>
  <c r="G144" i="1"/>
  <c r="S143" i="1"/>
  <c r="R143" i="1"/>
  <c r="Q143" i="1"/>
  <c r="G143" i="1"/>
  <c r="S142" i="1"/>
  <c r="R142" i="1"/>
  <c r="Q142" i="1"/>
  <c r="S141" i="1"/>
  <c r="R141" i="1"/>
  <c r="Q141" i="1"/>
  <c r="G141" i="1"/>
  <c r="S140" i="1"/>
  <c r="R140" i="1"/>
  <c r="Q140" i="1"/>
  <c r="G140" i="1"/>
  <c r="S139" i="1"/>
  <c r="R139" i="1"/>
  <c r="Q139" i="1"/>
  <c r="S138" i="1"/>
  <c r="R138" i="1"/>
  <c r="Q138" i="1"/>
  <c r="G138" i="1"/>
  <c r="S137" i="1"/>
  <c r="R137" i="1"/>
  <c r="Q137" i="1"/>
  <c r="G137" i="1"/>
  <c r="S136" i="1"/>
  <c r="R136" i="1"/>
  <c r="Q136" i="1"/>
  <c r="S135" i="1"/>
  <c r="R135" i="1"/>
  <c r="Q135" i="1"/>
  <c r="S134" i="1"/>
  <c r="R134" i="1"/>
  <c r="Q134" i="1"/>
  <c r="G134" i="1"/>
  <c r="S133" i="1"/>
  <c r="R133" i="1"/>
  <c r="Q133" i="1"/>
  <c r="G133" i="1"/>
  <c r="S132" i="1"/>
  <c r="R132" i="1"/>
  <c r="Q132" i="1"/>
  <c r="G132" i="1"/>
  <c r="S131" i="1"/>
  <c r="R131" i="1"/>
  <c r="Q131" i="1"/>
  <c r="G131" i="1"/>
  <c r="S130" i="1"/>
  <c r="R130" i="1"/>
  <c r="Q130" i="1"/>
  <c r="G130" i="1"/>
  <c r="S129" i="1"/>
  <c r="R129" i="1"/>
  <c r="Q129" i="1"/>
  <c r="G129" i="1"/>
  <c r="S128" i="1"/>
  <c r="R128" i="1"/>
  <c r="Q128" i="1"/>
  <c r="S127" i="1"/>
  <c r="R127" i="1"/>
  <c r="Q127" i="1"/>
  <c r="G127" i="1"/>
  <c r="S126" i="1"/>
  <c r="R126" i="1"/>
  <c r="Q126" i="1"/>
  <c r="G126" i="1"/>
  <c r="S125" i="1"/>
  <c r="R125" i="1"/>
  <c r="Q125" i="1"/>
  <c r="G125" i="1"/>
  <c r="S124" i="1"/>
  <c r="R124" i="1"/>
  <c r="Q124" i="1"/>
  <c r="S123" i="1"/>
  <c r="R123" i="1"/>
  <c r="Q123" i="1"/>
  <c r="G123" i="1"/>
  <c r="S122" i="1"/>
  <c r="R122" i="1"/>
  <c r="Q122" i="1"/>
  <c r="G122" i="1"/>
  <c r="S121" i="1"/>
  <c r="R121" i="1"/>
  <c r="Q121" i="1"/>
  <c r="S120" i="1"/>
  <c r="R120" i="1"/>
  <c r="Q120" i="1"/>
  <c r="S119" i="1"/>
  <c r="R119" i="1"/>
  <c r="Q119" i="1"/>
  <c r="S118" i="1"/>
  <c r="R118" i="1"/>
  <c r="Q118" i="1"/>
  <c r="G118" i="1"/>
  <c r="S117" i="1"/>
  <c r="R117" i="1"/>
  <c r="Q117" i="1"/>
  <c r="G117" i="1"/>
  <c r="S116" i="1"/>
  <c r="R116" i="1"/>
  <c r="Q116" i="1"/>
  <c r="G116" i="1"/>
  <c r="S115" i="1"/>
  <c r="R115" i="1"/>
  <c r="Q115" i="1"/>
  <c r="G115" i="1"/>
  <c r="S114" i="1"/>
  <c r="R114" i="1"/>
  <c r="Q114" i="1"/>
  <c r="G114" i="1"/>
  <c r="S113" i="1"/>
  <c r="R113" i="1"/>
  <c r="Q113" i="1"/>
  <c r="G113" i="1"/>
  <c r="S112" i="1"/>
  <c r="R112" i="1"/>
  <c r="Q112" i="1"/>
  <c r="G112" i="1"/>
  <c r="S111" i="1"/>
  <c r="R111" i="1"/>
  <c r="Q111" i="1"/>
  <c r="I111" i="1"/>
  <c r="G111" i="1"/>
  <c r="S110" i="1"/>
  <c r="R110" i="1"/>
  <c r="Q110" i="1"/>
  <c r="G110" i="1"/>
  <c r="S109" i="1"/>
  <c r="R109" i="1"/>
  <c r="Q109" i="1"/>
  <c r="S108" i="1"/>
  <c r="R108" i="1"/>
  <c r="Q108" i="1"/>
  <c r="S107" i="1"/>
  <c r="R107" i="1"/>
  <c r="Q107" i="1"/>
  <c r="G107" i="1"/>
  <c r="S106" i="1"/>
  <c r="R106" i="1"/>
  <c r="Q106" i="1"/>
  <c r="S105" i="1"/>
  <c r="R105" i="1"/>
  <c r="Q105" i="1"/>
  <c r="S104" i="1"/>
  <c r="R104" i="1"/>
  <c r="Q104" i="1"/>
  <c r="G104" i="1"/>
  <c r="S103" i="1"/>
  <c r="R103" i="1"/>
  <c r="Q103" i="1"/>
  <c r="S102" i="1"/>
  <c r="R102" i="1"/>
  <c r="Q102" i="1"/>
  <c r="G102" i="1"/>
  <c r="S101" i="1"/>
  <c r="R101" i="1"/>
  <c r="Q101" i="1"/>
  <c r="G101" i="1"/>
  <c r="S100" i="1"/>
  <c r="R100" i="1"/>
  <c r="Q100" i="1"/>
  <c r="S99" i="1"/>
  <c r="R99" i="1"/>
  <c r="Q99" i="1"/>
  <c r="S98" i="1"/>
  <c r="R98" i="1"/>
  <c r="Q98" i="1"/>
  <c r="I98" i="1"/>
  <c r="G98" i="1"/>
  <c r="S97" i="1"/>
  <c r="R97" i="1"/>
  <c r="Q97" i="1"/>
  <c r="G97" i="1"/>
  <c r="S96" i="1"/>
  <c r="R96" i="1"/>
  <c r="Q96" i="1"/>
  <c r="S95" i="1"/>
  <c r="R95" i="1"/>
  <c r="Q95" i="1"/>
  <c r="S94" i="1"/>
  <c r="R94" i="1"/>
  <c r="Q94" i="1"/>
  <c r="S93" i="1"/>
  <c r="R93" i="1"/>
  <c r="Q93" i="1"/>
  <c r="G93" i="1"/>
  <c r="S92" i="1"/>
  <c r="R92" i="1"/>
  <c r="Q92" i="1"/>
  <c r="G92" i="1"/>
  <c r="S91" i="1"/>
  <c r="R91" i="1"/>
  <c r="Q91" i="1"/>
  <c r="S90" i="1"/>
  <c r="R90" i="1"/>
  <c r="Q90" i="1"/>
  <c r="S89" i="1"/>
  <c r="R89" i="1"/>
  <c r="Q89" i="1"/>
  <c r="G89" i="1"/>
  <c r="S88" i="1"/>
  <c r="R88" i="1"/>
  <c r="Q88" i="1"/>
  <c r="G88" i="1"/>
  <c r="S87" i="1"/>
  <c r="R87" i="1"/>
  <c r="Q87" i="1"/>
  <c r="G87" i="1"/>
  <c r="S86" i="1"/>
  <c r="R86" i="1"/>
  <c r="Q86" i="1"/>
  <c r="S85" i="1"/>
  <c r="R85" i="1"/>
  <c r="Q85" i="1"/>
  <c r="G85" i="1"/>
  <c r="S84" i="1"/>
  <c r="R84" i="1"/>
  <c r="Q84" i="1"/>
  <c r="G84" i="1"/>
  <c r="S83" i="1"/>
  <c r="R83" i="1"/>
  <c r="Q83" i="1"/>
  <c r="G83" i="1"/>
  <c r="S82" i="1"/>
  <c r="R82" i="1"/>
  <c r="Q82" i="1"/>
  <c r="G82" i="1"/>
  <c r="S81" i="1"/>
  <c r="R81" i="1"/>
  <c r="Q81" i="1"/>
  <c r="G81" i="1"/>
  <c r="S80" i="1"/>
  <c r="R80" i="1"/>
  <c r="Q80" i="1"/>
  <c r="S79" i="1"/>
  <c r="R79" i="1"/>
  <c r="Q79" i="1"/>
  <c r="S78" i="1"/>
  <c r="R78" i="1"/>
  <c r="Q78" i="1"/>
  <c r="S77" i="1"/>
  <c r="R77" i="1"/>
  <c r="Q77" i="1"/>
  <c r="G77" i="1"/>
  <c r="S76" i="1"/>
  <c r="R76" i="1"/>
  <c r="Q76" i="1"/>
  <c r="G76" i="1"/>
  <c r="S75" i="1"/>
  <c r="R75" i="1"/>
  <c r="Q75" i="1"/>
  <c r="S74" i="1"/>
  <c r="R74" i="1"/>
  <c r="Q74" i="1"/>
  <c r="G74" i="1"/>
  <c r="S73" i="1"/>
  <c r="R73" i="1"/>
  <c r="Q73" i="1"/>
  <c r="G73" i="1"/>
  <c r="S72" i="1"/>
  <c r="R72" i="1"/>
  <c r="Q72" i="1"/>
  <c r="G72" i="1"/>
  <c r="S71" i="1"/>
  <c r="R71" i="1"/>
  <c r="Q71" i="1"/>
  <c r="S70" i="1"/>
  <c r="R70" i="1"/>
  <c r="Q70" i="1"/>
  <c r="G70" i="1"/>
  <c r="S69" i="1"/>
  <c r="R69" i="1"/>
  <c r="Q69" i="1"/>
  <c r="G69" i="1"/>
  <c r="S68" i="1"/>
  <c r="R68" i="1"/>
  <c r="Q68" i="1"/>
  <c r="S67" i="1"/>
  <c r="R67" i="1"/>
  <c r="Q67" i="1"/>
  <c r="G67" i="1"/>
  <c r="S66" i="1"/>
  <c r="R66" i="1"/>
  <c r="Q66" i="1"/>
  <c r="S65" i="1"/>
  <c r="R65" i="1"/>
  <c r="Q65" i="1"/>
  <c r="G65" i="1"/>
  <c r="S64" i="1"/>
  <c r="R64" i="1"/>
  <c r="Q64" i="1"/>
  <c r="S63" i="1"/>
  <c r="R63" i="1"/>
  <c r="Q63" i="1"/>
  <c r="S62" i="1"/>
  <c r="R62" i="1"/>
  <c r="Q62" i="1"/>
  <c r="G62" i="1"/>
  <c r="S61" i="1"/>
  <c r="R61" i="1"/>
  <c r="Q61" i="1"/>
  <c r="I61" i="1"/>
  <c r="G61" i="1"/>
  <c r="S60" i="1"/>
  <c r="R60" i="1"/>
  <c r="Q60" i="1"/>
  <c r="G60" i="1"/>
  <c r="S59" i="1"/>
  <c r="R59" i="1"/>
  <c r="Q59" i="1"/>
  <c r="G59" i="1"/>
  <c r="S58" i="1"/>
  <c r="R58" i="1"/>
  <c r="Q58" i="1"/>
  <c r="I58" i="1"/>
  <c r="G58" i="1"/>
  <c r="S57" i="1"/>
  <c r="R57" i="1"/>
  <c r="Q57" i="1"/>
  <c r="G57" i="1"/>
  <c r="S56" i="1"/>
  <c r="R56" i="1"/>
  <c r="Q56" i="1"/>
  <c r="G56" i="1"/>
  <c r="S55" i="1"/>
  <c r="R55" i="1"/>
  <c r="Q55" i="1"/>
  <c r="G55" i="1"/>
  <c r="S54" i="1"/>
  <c r="R54" i="1"/>
  <c r="Q54" i="1"/>
  <c r="G54" i="1"/>
  <c r="S53" i="1"/>
  <c r="R53" i="1"/>
  <c r="Q53" i="1"/>
  <c r="G53" i="1"/>
  <c r="S52" i="1"/>
  <c r="R52" i="1"/>
  <c r="Q52" i="1"/>
  <c r="S51" i="1"/>
  <c r="R51" i="1"/>
  <c r="Q51" i="1"/>
  <c r="G51" i="1"/>
  <c r="S50" i="1"/>
  <c r="R50" i="1"/>
  <c r="Q50" i="1"/>
  <c r="I50" i="1"/>
  <c r="G50" i="1"/>
  <c r="S49" i="1"/>
  <c r="R49" i="1"/>
  <c r="Q49" i="1"/>
  <c r="S48" i="1"/>
  <c r="R48" i="1"/>
  <c r="Q48" i="1"/>
  <c r="G48" i="1"/>
  <c r="S47" i="1"/>
  <c r="R47" i="1"/>
  <c r="Q47" i="1"/>
  <c r="G47" i="1"/>
  <c r="S46" i="1"/>
  <c r="R46" i="1"/>
  <c r="Q46" i="1"/>
  <c r="G46" i="1"/>
  <c r="S45" i="1"/>
  <c r="R45" i="1"/>
  <c r="Q45" i="1"/>
  <c r="G45" i="1"/>
  <c r="S44" i="1"/>
  <c r="R44" i="1"/>
  <c r="Q44" i="1"/>
  <c r="G44" i="1"/>
  <c r="S43" i="1"/>
  <c r="R43" i="1"/>
  <c r="Q43" i="1"/>
  <c r="G43" i="1"/>
  <c r="S42" i="1"/>
  <c r="R42" i="1"/>
  <c r="Q42" i="1"/>
  <c r="G42" i="1"/>
  <c r="S41" i="1"/>
  <c r="R41" i="1"/>
  <c r="Q41" i="1"/>
  <c r="G41" i="1"/>
  <c r="S40" i="1"/>
  <c r="R40" i="1"/>
  <c r="Q40" i="1"/>
  <c r="G40" i="1"/>
  <c r="S39" i="1"/>
  <c r="R39" i="1"/>
  <c r="Q39" i="1"/>
  <c r="S38" i="1"/>
  <c r="R38" i="1"/>
  <c r="Q38" i="1"/>
  <c r="G38" i="1"/>
  <c r="S37" i="1"/>
  <c r="R37" i="1"/>
  <c r="Q37" i="1"/>
  <c r="S36" i="1"/>
  <c r="R36" i="1"/>
  <c r="Q36" i="1"/>
  <c r="G36" i="1"/>
  <c r="S35" i="1"/>
  <c r="R35" i="1"/>
  <c r="Q35" i="1"/>
  <c r="G35" i="1"/>
  <c r="S34" i="1"/>
  <c r="R34" i="1"/>
  <c r="Q34" i="1"/>
  <c r="I34" i="1"/>
  <c r="G34" i="1"/>
  <c r="S33" i="1"/>
  <c r="R33" i="1"/>
  <c r="Q33" i="1"/>
  <c r="S32" i="1"/>
  <c r="R32" i="1"/>
  <c r="Q32" i="1"/>
  <c r="G32" i="1"/>
  <c r="S31" i="1"/>
  <c r="R31" i="1"/>
  <c r="Q31" i="1"/>
  <c r="S30" i="1"/>
  <c r="R30" i="1"/>
  <c r="Q30" i="1"/>
  <c r="S29" i="1"/>
  <c r="R29" i="1"/>
  <c r="Q29" i="1"/>
  <c r="G29" i="1"/>
  <c r="S28" i="1"/>
  <c r="R28" i="1"/>
  <c r="Q28" i="1"/>
  <c r="S27" i="1"/>
  <c r="R27" i="1"/>
  <c r="Q27" i="1"/>
  <c r="G27" i="1"/>
  <c r="S26" i="1"/>
  <c r="R26" i="1"/>
  <c r="Q26" i="1"/>
  <c r="S25" i="1"/>
  <c r="R25" i="1"/>
  <c r="Q25" i="1"/>
  <c r="G25" i="1"/>
  <c r="S24" i="1"/>
  <c r="R24" i="1"/>
  <c r="Q24" i="1"/>
  <c r="I24" i="1"/>
  <c r="G24" i="1"/>
  <c r="S23" i="1"/>
  <c r="R23" i="1"/>
  <c r="Q23" i="1"/>
  <c r="G23" i="1"/>
  <c r="S22" i="1"/>
  <c r="R22" i="1"/>
  <c r="Q22" i="1"/>
  <c r="G22" i="1"/>
  <c r="S21" i="1"/>
  <c r="R21" i="1"/>
  <c r="Q21" i="1"/>
  <c r="G21" i="1"/>
  <c r="S20" i="1"/>
  <c r="R20" i="1"/>
  <c r="Q20" i="1"/>
  <c r="G20" i="1"/>
  <c r="S19" i="1"/>
  <c r="R19" i="1"/>
  <c r="Q19" i="1"/>
  <c r="G19" i="1"/>
  <c r="S18" i="1"/>
  <c r="R18" i="1"/>
  <c r="Q18" i="1"/>
  <c r="S17" i="1"/>
  <c r="R17" i="1"/>
  <c r="Q17" i="1"/>
  <c r="G17" i="1"/>
  <c r="S16" i="1"/>
  <c r="R16" i="1"/>
  <c r="Q16" i="1"/>
  <c r="G16" i="1"/>
  <c r="S15" i="1"/>
  <c r="R15" i="1"/>
  <c r="Q15" i="1"/>
  <c r="G15" i="1"/>
  <c r="S14" i="1"/>
  <c r="R14" i="1"/>
  <c r="Q14" i="1"/>
  <c r="G14" i="1"/>
  <c r="S13" i="1"/>
  <c r="R13" i="1"/>
  <c r="Q13" i="1"/>
  <c r="S12" i="1"/>
  <c r="R12" i="1"/>
  <c r="Q12" i="1"/>
  <c r="S11" i="1"/>
  <c r="R11" i="1"/>
  <c r="Q11" i="1"/>
  <c r="G11" i="1"/>
  <c r="S10" i="1"/>
  <c r="R10" i="1"/>
  <c r="Q10" i="1"/>
  <c r="G10" i="1"/>
  <c r="S9" i="1"/>
  <c r="R9" i="1"/>
  <c r="Q9" i="1"/>
  <c r="G9" i="1"/>
  <c r="S8" i="1"/>
  <c r="R8" i="1"/>
  <c r="Q8" i="1"/>
  <c r="G8" i="1"/>
  <c r="S834" i="4"/>
  <c r="R834" i="4"/>
  <c r="Q834" i="4"/>
  <c r="P834" i="4"/>
  <c r="O834" i="4"/>
  <c r="N834" i="4"/>
  <c r="M834" i="4"/>
  <c r="L834" i="4"/>
  <c r="K834" i="4"/>
  <c r="J834" i="4"/>
  <c r="I834" i="4"/>
  <c r="H834" i="4"/>
  <c r="G834" i="4"/>
  <c r="S832" i="4"/>
  <c r="R832" i="4"/>
  <c r="Q832" i="4"/>
  <c r="G832" i="4"/>
  <c r="S831" i="4"/>
  <c r="R831" i="4"/>
  <c r="Q831" i="4"/>
  <c r="G831" i="4"/>
  <c r="S830" i="4"/>
  <c r="R830" i="4"/>
  <c r="Q830" i="4"/>
  <c r="G830" i="4"/>
  <c r="S829" i="4"/>
  <c r="R829" i="4"/>
  <c r="Q829" i="4"/>
  <c r="G829" i="4"/>
  <c r="S828" i="4"/>
  <c r="R828" i="4"/>
  <c r="Q828" i="4"/>
  <c r="G828" i="4"/>
  <c r="S827" i="4"/>
  <c r="R827" i="4"/>
  <c r="Q827" i="4"/>
  <c r="S826" i="4"/>
  <c r="R826" i="4"/>
  <c r="Q826" i="4"/>
  <c r="G826" i="4"/>
  <c r="S825" i="4"/>
  <c r="R825" i="4"/>
  <c r="Q825" i="4"/>
  <c r="G825" i="4"/>
  <c r="S824" i="4"/>
  <c r="R824" i="4"/>
  <c r="Q824" i="4"/>
  <c r="G824" i="4"/>
  <c r="S823" i="4"/>
  <c r="R823" i="4"/>
  <c r="Q823" i="4"/>
  <c r="S822" i="4"/>
  <c r="R822" i="4"/>
  <c r="Q822" i="4"/>
  <c r="G822" i="4"/>
  <c r="S821" i="4"/>
  <c r="R821" i="4"/>
  <c r="Q821" i="4"/>
  <c r="S820" i="4"/>
  <c r="R820" i="4"/>
  <c r="Q820" i="4"/>
  <c r="G820" i="4"/>
  <c r="S819" i="4"/>
  <c r="R819" i="4"/>
  <c r="Q819" i="4"/>
  <c r="S818" i="4"/>
  <c r="R818" i="4"/>
  <c r="Q818" i="4"/>
  <c r="I818" i="4"/>
  <c r="G818" i="4"/>
  <c r="S817" i="4"/>
  <c r="R817" i="4"/>
  <c r="Q817" i="4"/>
  <c r="I817" i="4"/>
  <c r="G817" i="4"/>
  <c r="S816" i="4"/>
  <c r="R816" i="4"/>
  <c r="Q816" i="4"/>
  <c r="G816" i="4"/>
  <c r="S815" i="4"/>
  <c r="R815" i="4"/>
  <c r="Q815" i="4"/>
  <c r="G815" i="4"/>
  <c r="S814" i="4"/>
  <c r="R814" i="4"/>
  <c r="Q814" i="4"/>
  <c r="G814" i="4"/>
  <c r="S813" i="4"/>
  <c r="R813" i="4"/>
  <c r="Q813" i="4"/>
  <c r="G813" i="4"/>
  <c r="S812" i="4"/>
  <c r="R812" i="4"/>
  <c r="Q812" i="4"/>
  <c r="G812" i="4"/>
  <c r="S811" i="4"/>
  <c r="R811" i="4"/>
  <c r="Q811" i="4"/>
  <c r="S810" i="4"/>
  <c r="R810" i="4"/>
  <c r="Q810" i="4"/>
  <c r="G810" i="4"/>
  <c r="S809" i="4"/>
  <c r="R809" i="4"/>
  <c r="Q809" i="4"/>
  <c r="G809" i="4"/>
  <c r="S808" i="4"/>
  <c r="R808" i="4"/>
  <c r="Q808" i="4"/>
  <c r="G808" i="4"/>
  <c r="S807" i="4"/>
  <c r="R807" i="4"/>
  <c r="Q807" i="4"/>
  <c r="G807" i="4"/>
  <c r="S806" i="4"/>
  <c r="R806" i="4"/>
  <c r="Q806" i="4"/>
  <c r="G806" i="4"/>
  <c r="S805" i="4"/>
  <c r="R805" i="4"/>
  <c r="Q805" i="4"/>
  <c r="G805" i="4"/>
  <c r="S804" i="4"/>
  <c r="R804" i="4"/>
  <c r="Q804" i="4"/>
  <c r="G804" i="4"/>
  <c r="S803" i="4"/>
  <c r="R803" i="4"/>
  <c r="Q803" i="4"/>
  <c r="G803" i="4"/>
  <c r="S802" i="4"/>
  <c r="R802" i="4"/>
  <c r="Q802" i="4"/>
  <c r="G802" i="4"/>
  <c r="S801" i="4"/>
  <c r="R801" i="4"/>
  <c r="Q801" i="4"/>
  <c r="G801" i="4"/>
  <c r="S800" i="4"/>
  <c r="R800" i="4"/>
  <c r="Q800" i="4"/>
  <c r="G800" i="4"/>
  <c r="S799" i="4"/>
  <c r="R799" i="4"/>
  <c r="Q799" i="4"/>
  <c r="G799" i="4"/>
  <c r="S798" i="4"/>
  <c r="R798" i="4"/>
  <c r="Q798" i="4"/>
  <c r="G798" i="4"/>
  <c r="S797" i="4"/>
  <c r="R797" i="4"/>
  <c r="Q797" i="4"/>
  <c r="G797" i="4"/>
  <c r="S796" i="4"/>
  <c r="R796" i="4"/>
  <c r="Q796" i="4"/>
  <c r="S795" i="4"/>
  <c r="R795" i="4"/>
  <c r="Q795" i="4"/>
  <c r="G795" i="4"/>
  <c r="S794" i="4"/>
  <c r="R794" i="4"/>
  <c r="Q794" i="4"/>
  <c r="G794" i="4"/>
  <c r="S793" i="4"/>
  <c r="R793" i="4"/>
  <c r="Q793" i="4"/>
  <c r="G793" i="4"/>
  <c r="S792" i="4"/>
  <c r="R792" i="4"/>
  <c r="Q792" i="4"/>
  <c r="G792" i="4"/>
  <c r="S791" i="4"/>
  <c r="R791" i="4"/>
  <c r="Q791" i="4"/>
  <c r="S790" i="4"/>
  <c r="R790" i="4"/>
  <c r="Q790" i="4"/>
  <c r="G790" i="4"/>
  <c r="S789" i="4"/>
  <c r="R789" i="4"/>
  <c r="Q789" i="4"/>
  <c r="G789" i="4"/>
  <c r="S788" i="4"/>
  <c r="R788" i="4"/>
  <c r="Q788" i="4"/>
  <c r="G788" i="4"/>
  <c r="S787" i="4"/>
  <c r="R787" i="4"/>
  <c r="Q787" i="4"/>
  <c r="G787" i="4"/>
  <c r="S786" i="4"/>
  <c r="R786" i="4"/>
  <c r="Q786" i="4"/>
  <c r="I786" i="4"/>
  <c r="G786" i="4"/>
  <c r="S785" i="4"/>
  <c r="R785" i="4"/>
  <c r="Q785" i="4"/>
  <c r="G785" i="4"/>
  <c r="S784" i="4"/>
  <c r="R784" i="4"/>
  <c r="Q784" i="4"/>
  <c r="G784" i="4"/>
  <c r="S783" i="4"/>
  <c r="R783" i="4"/>
  <c r="Q783" i="4"/>
  <c r="G783" i="4"/>
  <c r="S782" i="4"/>
  <c r="R782" i="4"/>
  <c r="Q782" i="4"/>
  <c r="G782" i="4"/>
  <c r="S781" i="4"/>
  <c r="R781" i="4"/>
  <c r="Q781" i="4"/>
  <c r="S780" i="4"/>
  <c r="R780" i="4"/>
  <c r="Q780" i="4"/>
  <c r="S779" i="4"/>
  <c r="R779" i="4"/>
  <c r="Q779" i="4"/>
  <c r="I779" i="4"/>
  <c r="G779" i="4"/>
  <c r="S778" i="4"/>
  <c r="R778" i="4"/>
  <c r="Q778" i="4"/>
  <c r="G778" i="4"/>
  <c r="S777" i="4"/>
  <c r="R777" i="4"/>
  <c r="Q777" i="4"/>
  <c r="I777" i="4"/>
  <c r="G777" i="4"/>
  <c r="S776" i="4"/>
  <c r="R776" i="4"/>
  <c r="Q776" i="4"/>
  <c r="G776" i="4"/>
  <c r="S775" i="4"/>
  <c r="R775" i="4"/>
  <c r="Q775" i="4"/>
  <c r="G775" i="4"/>
  <c r="S774" i="4"/>
  <c r="R774" i="4"/>
  <c r="Q774" i="4"/>
  <c r="I774" i="4"/>
  <c r="G774" i="4"/>
  <c r="S773" i="4"/>
  <c r="R773" i="4"/>
  <c r="Q773" i="4"/>
  <c r="G773" i="4"/>
  <c r="S772" i="4"/>
  <c r="R772" i="4"/>
  <c r="Q772" i="4"/>
  <c r="G772" i="4"/>
  <c r="S771" i="4"/>
  <c r="R771" i="4"/>
  <c r="Q771" i="4"/>
  <c r="G771" i="4"/>
  <c r="S770" i="4"/>
  <c r="R770" i="4"/>
  <c r="Q770" i="4"/>
  <c r="G770" i="4"/>
  <c r="S769" i="4"/>
  <c r="R769" i="4"/>
  <c r="Q769" i="4"/>
  <c r="G769" i="4"/>
  <c r="S768" i="4"/>
  <c r="R768" i="4"/>
  <c r="Q768" i="4"/>
  <c r="G768" i="4"/>
  <c r="S767" i="4"/>
  <c r="R767" i="4"/>
  <c r="Q767" i="4"/>
  <c r="G767" i="4"/>
  <c r="S766" i="4"/>
  <c r="R766" i="4"/>
  <c r="Q766" i="4"/>
  <c r="G766" i="4"/>
  <c r="S765" i="4"/>
  <c r="R765" i="4"/>
  <c r="Q765" i="4"/>
  <c r="G765" i="4"/>
  <c r="S764" i="4"/>
  <c r="R764" i="4"/>
  <c r="Q764" i="4"/>
  <c r="G764" i="4"/>
  <c r="S763" i="4"/>
  <c r="R763" i="4"/>
  <c r="Q763" i="4"/>
  <c r="G763" i="4"/>
  <c r="S762" i="4"/>
  <c r="R762" i="4"/>
  <c r="Q762" i="4"/>
  <c r="G762" i="4"/>
  <c r="S761" i="4"/>
  <c r="R761" i="4"/>
  <c r="Q761" i="4"/>
  <c r="G761" i="4"/>
  <c r="S760" i="4"/>
  <c r="R760" i="4"/>
  <c r="Q760" i="4"/>
  <c r="G760" i="4"/>
  <c r="S759" i="4"/>
  <c r="R759" i="4"/>
  <c r="Q759" i="4"/>
  <c r="G759" i="4"/>
  <c r="S758" i="4"/>
  <c r="R758" i="4"/>
  <c r="Q758" i="4"/>
  <c r="G758" i="4"/>
  <c r="S757" i="4"/>
  <c r="R757" i="4"/>
  <c r="Q757" i="4"/>
  <c r="I757" i="4"/>
  <c r="G757" i="4"/>
  <c r="S756" i="4"/>
  <c r="R756" i="4"/>
  <c r="Q756" i="4"/>
  <c r="G756" i="4"/>
  <c r="S755" i="4"/>
  <c r="R755" i="4"/>
  <c r="Q755" i="4"/>
  <c r="G755" i="4"/>
  <c r="S754" i="4"/>
  <c r="R754" i="4"/>
  <c r="Q754" i="4"/>
  <c r="G754" i="4"/>
  <c r="S753" i="4"/>
  <c r="R753" i="4"/>
  <c r="Q753" i="4"/>
  <c r="G753" i="4"/>
  <c r="S752" i="4"/>
  <c r="R752" i="4"/>
  <c r="Q752" i="4"/>
  <c r="G752" i="4"/>
  <c r="S751" i="4"/>
  <c r="R751" i="4"/>
  <c r="Q751" i="4"/>
  <c r="G751" i="4"/>
  <c r="S750" i="4"/>
  <c r="R750" i="4"/>
  <c r="Q750" i="4"/>
  <c r="S749" i="4"/>
  <c r="R749" i="4"/>
  <c r="Q749" i="4"/>
  <c r="G749" i="4"/>
  <c r="S748" i="4"/>
  <c r="R748" i="4"/>
  <c r="Q748" i="4"/>
  <c r="G748" i="4"/>
  <c r="S747" i="4"/>
  <c r="R747" i="4"/>
  <c r="Q747" i="4"/>
  <c r="G747" i="4"/>
  <c r="S746" i="4"/>
  <c r="R746" i="4"/>
  <c r="Q746" i="4"/>
  <c r="G746" i="4"/>
  <c r="S745" i="4"/>
  <c r="R745" i="4"/>
  <c r="Q745" i="4"/>
  <c r="G745" i="4"/>
  <c r="S744" i="4"/>
  <c r="R744" i="4"/>
  <c r="Q744" i="4"/>
  <c r="G744" i="4"/>
  <c r="S743" i="4"/>
  <c r="R743" i="4"/>
  <c r="Q743" i="4"/>
  <c r="G743" i="4"/>
  <c r="S742" i="4"/>
  <c r="R742" i="4"/>
  <c r="Q742" i="4"/>
  <c r="G742" i="4"/>
  <c r="S741" i="4"/>
  <c r="R741" i="4"/>
  <c r="Q741" i="4"/>
  <c r="G741" i="4"/>
  <c r="S740" i="4"/>
  <c r="R740" i="4"/>
  <c r="Q740" i="4"/>
  <c r="G740" i="4"/>
  <c r="S739" i="4"/>
  <c r="R739" i="4"/>
  <c r="Q739" i="4"/>
  <c r="G739" i="4"/>
  <c r="S738" i="4"/>
  <c r="R738" i="4"/>
  <c r="Q738" i="4"/>
  <c r="G738" i="4"/>
  <c r="S737" i="4"/>
  <c r="R737" i="4"/>
  <c r="Q737" i="4"/>
  <c r="I737" i="4"/>
  <c r="G737" i="4"/>
  <c r="S736" i="4"/>
  <c r="R736" i="4"/>
  <c r="Q736" i="4"/>
  <c r="G736" i="4"/>
  <c r="S735" i="4"/>
  <c r="R735" i="4"/>
  <c r="Q735" i="4"/>
  <c r="G735" i="4"/>
  <c r="S734" i="4"/>
  <c r="R734" i="4"/>
  <c r="Q734" i="4"/>
  <c r="G734" i="4"/>
  <c r="S733" i="4"/>
  <c r="R733" i="4"/>
  <c r="Q733" i="4"/>
  <c r="G733" i="4"/>
  <c r="S732" i="4"/>
  <c r="R732" i="4"/>
  <c r="Q732" i="4"/>
  <c r="G732" i="4"/>
  <c r="S731" i="4"/>
  <c r="R731" i="4"/>
  <c r="Q731" i="4"/>
  <c r="G731" i="4"/>
  <c r="S730" i="4"/>
  <c r="R730" i="4"/>
  <c r="Q730" i="4"/>
  <c r="G730" i="4"/>
  <c r="S729" i="4"/>
  <c r="R729" i="4"/>
  <c r="Q729" i="4"/>
  <c r="G729" i="4"/>
  <c r="S728" i="4"/>
  <c r="R728" i="4"/>
  <c r="Q728" i="4"/>
  <c r="G728" i="4"/>
  <c r="S727" i="4"/>
  <c r="R727" i="4"/>
  <c r="Q727" i="4"/>
  <c r="G727" i="4"/>
  <c r="S726" i="4"/>
  <c r="R726" i="4"/>
  <c r="Q726" i="4"/>
  <c r="G726" i="4"/>
  <c r="S725" i="4"/>
  <c r="R725" i="4"/>
  <c r="Q725" i="4"/>
  <c r="G725" i="4"/>
  <c r="S724" i="4"/>
  <c r="R724" i="4"/>
  <c r="Q724" i="4"/>
  <c r="G724" i="4"/>
  <c r="S723" i="4"/>
  <c r="R723" i="4"/>
  <c r="Q723" i="4"/>
  <c r="G723" i="4"/>
  <c r="S722" i="4"/>
  <c r="R722" i="4"/>
  <c r="Q722" i="4"/>
  <c r="G722" i="4"/>
  <c r="S721" i="4"/>
  <c r="R721" i="4"/>
  <c r="Q721" i="4"/>
  <c r="G721" i="4"/>
  <c r="S720" i="4"/>
  <c r="R720" i="4"/>
  <c r="Q720" i="4"/>
  <c r="G720" i="4"/>
  <c r="S719" i="4"/>
  <c r="R719" i="4"/>
  <c r="Q719" i="4"/>
  <c r="G719" i="4"/>
  <c r="S718" i="4"/>
  <c r="R718" i="4"/>
  <c r="Q718" i="4"/>
  <c r="S717" i="4"/>
  <c r="R717" i="4"/>
  <c r="Q717" i="4"/>
  <c r="G717" i="4"/>
  <c r="S716" i="4"/>
  <c r="R716" i="4"/>
  <c r="Q716" i="4"/>
  <c r="G716" i="4"/>
  <c r="S715" i="4"/>
  <c r="R715" i="4"/>
  <c r="Q715" i="4"/>
  <c r="G715" i="4"/>
  <c r="S714" i="4"/>
  <c r="R714" i="4"/>
  <c r="Q714" i="4"/>
  <c r="G714" i="4"/>
  <c r="S713" i="4"/>
  <c r="R713" i="4"/>
  <c r="Q713" i="4"/>
  <c r="G713" i="4"/>
  <c r="S712" i="4"/>
  <c r="R712" i="4"/>
  <c r="Q712" i="4"/>
  <c r="G712" i="4"/>
  <c r="S711" i="4"/>
  <c r="R711" i="4"/>
  <c r="Q711" i="4"/>
  <c r="G711" i="4"/>
  <c r="S710" i="4"/>
  <c r="R710" i="4"/>
  <c r="Q710" i="4"/>
  <c r="G710" i="4"/>
  <c r="S709" i="4"/>
  <c r="R709" i="4"/>
  <c r="Q709" i="4"/>
  <c r="G709" i="4"/>
  <c r="S708" i="4"/>
  <c r="R708" i="4"/>
  <c r="Q708" i="4"/>
  <c r="G708" i="4"/>
  <c r="S707" i="4"/>
  <c r="R707" i="4"/>
  <c r="Q707" i="4"/>
  <c r="G707" i="4"/>
  <c r="S706" i="4"/>
  <c r="R706" i="4"/>
  <c r="Q706" i="4"/>
  <c r="I706" i="4"/>
  <c r="G706" i="4"/>
  <c r="S705" i="4"/>
  <c r="R705" i="4"/>
  <c r="Q705" i="4"/>
  <c r="G705" i="4"/>
  <c r="S704" i="4"/>
  <c r="R704" i="4"/>
  <c r="Q704" i="4"/>
  <c r="G704" i="4"/>
  <c r="S703" i="4"/>
  <c r="R703" i="4"/>
  <c r="Q703" i="4"/>
  <c r="G703" i="4"/>
  <c r="S702" i="4"/>
  <c r="R702" i="4"/>
  <c r="Q702" i="4"/>
  <c r="S701" i="4"/>
  <c r="R701" i="4"/>
  <c r="Q701" i="4"/>
  <c r="G701" i="4"/>
  <c r="S700" i="4"/>
  <c r="R700" i="4"/>
  <c r="Q700" i="4"/>
  <c r="G700" i="4"/>
  <c r="S699" i="4"/>
  <c r="R699" i="4"/>
  <c r="Q699" i="4"/>
  <c r="G699" i="4"/>
  <c r="S698" i="4"/>
  <c r="R698" i="4"/>
  <c r="Q698" i="4"/>
  <c r="G698" i="4"/>
  <c r="S697" i="4"/>
  <c r="R697" i="4"/>
  <c r="Q697" i="4"/>
  <c r="G697" i="4"/>
  <c r="S696" i="4"/>
  <c r="R696" i="4"/>
  <c r="Q696" i="4"/>
  <c r="G696" i="4"/>
  <c r="S695" i="4"/>
  <c r="R695" i="4"/>
  <c r="Q695" i="4"/>
  <c r="G695" i="4"/>
  <c r="S694" i="4"/>
  <c r="R694" i="4"/>
  <c r="Q694" i="4"/>
  <c r="G694" i="4"/>
  <c r="S693" i="4"/>
  <c r="R693" i="4"/>
  <c r="Q693" i="4"/>
  <c r="G693" i="4"/>
  <c r="S692" i="4"/>
  <c r="R692" i="4"/>
  <c r="Q692" i="4"/>
  <c r="G692" i="4"/>
  <c r="S691" i="4"/>
  <c r="R691" i="4"/>
  <c r="Q691" i="4"/>
  <c r="I691" i="4"/>
  <c r="G691" i="4"/>
  <c r="S690" i="4"/>
  <c r="R690" i="4"/>
  <c r="Q690" i="4"/>
  <c r="G690" i="4"/>
  <c r="S689" i="4"/>
  <c r="R689" i="4"/>
  <c r="Q689" i="4"/>
  <c r="G689" i="4"/>
  <c r="S688" i="4"/>
  <c r="R688" i="4"/>
  <c r="Q688" i="4"/>
  <c r="G688" i="4"/>
  <c r="S687" i="4"/>
  <c r="R687" i="4"/>
  <c r="Q687" i="4"/>
  <c r="G687" i="4"/>
  <c r="S686" i="4"/>
  <c r="R686" i="4"/>
  <c r="Q686" i="4"/>
  <c r="G686" i="4"/>
  <c r="S685" i="4"/>
  <c r="R685" i="4"/>
  <c r="Q685" i="4"/>
  <c r="S684" i="4"/>
  <c r="R684" i="4"/>
  <c r="Q684" i="4"/>
  <c r="S683" i="4"/>
  <c r="R683" i="4"/>
  <c r="Q683" i="4"/>
  <c r="G683" i="4"/>
  <c r="S682" i="4"/>
  <c r="R682" i="4"/>
  <c r="Q682" i="4"/>
  <c r="S681" i="4"/>
  <c r="R681" i="4"/>
  <c r="Q681" i="4"/>
  <c r="G681" i="4"/>
  <c r="S680" i="4"/>
  <c r="R680" i="4"/>
  <c r="Q680" i="4"/>
  <c r="G680" i="4"/>
  <c r="S679" i="4"/>
  <c r="R679" i="4"/>
  <c r="Q679" i="4"/>
  <c r="G679" i="4"/>
  <c r="S678" i="4"/>
  <c r="R678" i="4"/>
  <c r="Q678" i="4"/>
  <c r="G678" i="4"/>
  <c r="S677" i="4"/>
  <c r="R677" i="4"/>
  <c r="Q677" i="4"/>
  <c r="G677" i="4"/>
  <c r="S676" i="4"/>
  <c r="R676" i="4"/>
  <c r="Q676" i="4"/>
  <c r="G676" i="4"/>
  <c r="S675" i="4"/>
  <c r="R675" i="4"/>
  <c r="Q675" i="4"/>
  <c r="G675" i="4"/>
  <c r="S674" i="4"/>
  <c r="R674" i="4"/>
  <c r="Q674" i="4"/>
  <c r="G674" i="4"/>
  <c r="S673" i="4"/>
  <c r="R673" i="4"/>
  <c r="Q673" i="4"/>
  <c r="I673" i="4"/>
  <c r="G673" i="4"/>
  <c r="S672" i="4"/>
  <c r="R672" i="4"/>
  <c r="Q672" i="4"/>
  <c r="G672" i="4"/>
  <c r="S671" i="4"/>
  <c r="R671" i="4"/>
  <c r="Q671" i="4"/>
  <c r="G671" i="4"/>
  <c r="S670" i="4"/>
  <c r="R670" i="4"/>
  <c r="Q670" i="4"/>
  <c r="G670" i="4"/>
  <c r="S669" i="4"/>
  <c r="R669" i="4"/>
  <c r="Q669" i="4"/>
  <c r="G669" i="4"/>
  <c r="S668" i="4"/>
  <c r="R668" i="4"/>
  <c r="Q668" i="4"/>
  <c r="G668" i="4"/>
  <c r="S667" i="4"/>
  <c r="R667" i="4"/>
  <c r="Q667" i="4"/>
  <c r="G667" i="4"/>
  <c r="S666" i="4"/>
  <c r="R666" i="4"/>
  <c r="Q666" i="4"/>
  <c r="G666" i="4"/>
  <c r="S665" i="4"/>
  <c r="R665" i="4"/>
  <c r="Q665" i="4"/>
  <c r="S664" i="4"/>
  <c r="R664" i="4"/>
  <c r="Q664" i="4"/>
  <c r="G664" i="4"/>
  <c r="S663" i="4"/>
  <c r="R663" i="4"/>
  <c r="Q663" i="4"/>
  <c r="G663" i="4"/>
  <c r="S662" i="4"/>
  <c r="R662" i="4"/>
  <c r="Q662" i="4"/>
  <c r="S661" i="4"/>
  <c r="R661" i="4"/>
  <c r="Q661" i="4"/>
  <c r="S660" i="4"/>
  <c r="R660" i="4"/>
  <c r="Q660" i="4"/>
  <c r="G660" i="4"/>
  <c r="S659" i="4"/>
  <c r="R659" i="4"/>
  <c r="Q659" i="4"/>
  <c r="G659" i="4"/>
  <c r="S658" i="4"/>
  <c r="R658" i="4"/>
  <c r="Q658" i="4"/>
  <c r="G658" i="4"/>
  <c r="S657" i="4"/>
  <c r="R657" i="4"/>
  <c r="Q657" i="4"/>
  <c r="I657" i="4"/>
  <c r="G657" i="4"/>
  <c r="S656" i="4"/>
  <c r="R656" i="4"/>
  <c r="Q656" i="4"/>
  <c r="G656" i="4"/>
  <c r="S655" i="4"/>
  <c r="R655" i="4"/>
  <c r="Q655" i="4"/>
  <c r="G655" i="4"/>
  <c r="S654" i="4"/>
  <c r="R654" i="4"/>
  <c r="Q654" i="4"/>
  <c r="G654" i="4"/>
  <c r="S653" i="4"/>
  <c r="R653" i="4"/>
  <c r="Q653" i="4"/>
  <c r="G653" i="4"/>
  <c r="S652" i="4"/>
  <c r="R652" i="4"/>
  <c r="Q652" i="4"/>
  <c r="G652" i="4"/>
  <c r="S651" i="4"/>
  <c r="R651" i="4"/>
  <c r="Q651" i="4"/>
  <c r="G651" i="4"/>
  <c r="S650" i="4"/>
  <c r="R650" i="4"/>
  <c r="Q650" i="4"/>
  <c r="S649" i="4"/>
  <c r="R649" i="4"/>
  <c r="Q649" i="4"/>
  <c r="G649" i="4"/>
  <c r="S648" i="4"/>
  <c r="R648" i="4"/>
  <c r="Q648" i="4"/>
  <c r="G648" i="4"/>
  <c r="S647" i="4"/>
  <c r="R647" i="4"/>
  <c r="Q647" i="4"/>
  <c r="G647" i="4"/>
  <c r="S646" i="4"/>
  <c r="R646" i="4"/>
  <c r="Q646" i="4"/>
  <c r="G646" i="4"/>
  <c r="S645" i="4"/>
  <c r="R645" i="4"/>
  <c r="Q645" i="4"/>
  <c r="G645" i="4"/>
  <c r="S644" i="4"/>
  <c r="R644" i="4"/>
  <c r="Q644" i="4"/>
  <c r="G644" i="4"/>
  <c r="S643" i="4"/>
  <c r="R643" i="4"/>
  <c r="Q643" i="4"/>
  <c r="G643" i="4"/>
  <c r="S642" i="4"/>
  <c r="R642" i="4"/>
  <c r="Q642" i="4"/>
  <c r="S641" i="4"/>
  <c r="R641" i="4"/>
  <c r="Q641" i="4"/>
  <c r="G641" i="4"/>
  <c r="S640" i="4"/>
  <c r="R640" i="4"/>
  <c r="Q640" i="4"/>
  <c r="G640" i="4"/>
  <c r="S639" i="4"/>
  <c r="R639" i="4"/>
  <c r="Q639" i="4"/>
  <c r="G639" i="4"/>
  <c r="S638" i="4"/>
  <c r="R638" i="4"/>
  <c r="Q638" i="4"/>
  <c r="G638" i="4"/>
  <c r="S637" i="4"/>
  <c r="R637" i="4"/>
  <c r="Q637" i="4"/>
  <c r="G637" i="4"/>
  <c r="S636" i="4"/>
  <c r="R636" i="4"/>
  <c r="Q636" i="4"/>
  <c r="G636" i="4"/>
  <c r="S635" i="4"/>
  <c r="R635" i="4"/>
  <c r="Q635" i="4"/>
  <c r="G635" i="4"/>
  <c r="S634" i="4"/>
  <c r="R634" i="4"/>
  <c r="Q634" i="4"/>
  <c r="S633" i="4"/>
  <c r="R633" i="4"/>
  <c r="Q633" i="4"/>
  <c r="G633" i="4"/>
  <c r="S632" i="4"/>
  <c r="R632" i="4"/>
  <c r="Q632" i="4"/>
  <c r="G632" i="4"/>
  <c r="S631" i="4"/>
  <c r="R631" i="4"/>
  <c r="Q631" i="4"/>
  <c r="G631" i="4"/>
  <c r="S630" i="4"/>
  <c r="R630" i="4"/>
  <c r="Q630" i="4"/>
  <c r="I630" i="4"/>
  <c r="G630" i="4"/>
  <c r="S629" i="4"/>
  <c r="R629" i="4"/>
  <c r="Q629" i="4"/>
  <c r="G629" i="4"/>
  <c r="S628" i="4"/>
  <c r="R628" i="4"/>
  <c r="Q628" i="4"/>
  <c r="G628" i="4"/>
  <c r="S627" i="4"/>
  <c r="R627" i="4"/>
  <c r="Q627" i="4"/>
  <c r="G627" i="4"/>
  <c r="S626" i="4"/>
  <c r="R626" i="4"/>
  <c r="Q626" i="4"/>
  <c r="G626" i="4"/>
  <c r="S625" i="4"/>
  <c r="R625" i="4"/>
  <c r="Q625" i="4"/>
  <c r="G625" i="4"/>
  <c r="S624" i="4"/>
  <c r="R624" i="4"/>
  <c r="Q624" i="4"/>
  <c r="I624" i="4"/>
  <c r="G624" i="4"/>
  <c r="S623" i="4"/>
  <c r="R623" i="4"/>
  <c r="Q623" i="4"/>
  <c r="G623" i="4"/>
  <c r="S622" i="4"/>
  <c r="R622" i="4"/>
  <c r="Q622" i="4"/>
  <c r="G622" i="4"/>
  <c r="S621" i="4"/>
  <c r="R621" i="4"/>
  <c r="Q621" i="4"/>
  <c r="G621" i="4"/>
  <c r="S620" i="4"/>
  <c r="R620" i="4"/>
  <c r="Q620" i="4"/>
  <c r="G620" i="4"/>
  <c r="S619" i="4"/>
  <c r="R619" i="4"/>
  <c r="Q619" i="4"/>
  <c r="S618" i="4"/>
  <c r="R618" i="4"/>
  <c r="Q618" i="4"/>
  <c r="S617" i="4"/>
  <c r="R617" i="4"/>
  <c r="Q617" i="4"/>
  <c r="G617" i="4"/>
  <c r="S616" i="4"/>
  <c r="R616" i="4"/>
  <c r="Q616" i="4"/>
  <c r="G616" i="4"/>
  <c r="S615" i="4"/>
  <c r="R615" i="4"/>
  <c r="Q615" i="4"/>
  <c r="G615" i="4"/>
  <c r="S614" i="4"/>
  <c r="R614" i="4"/>
  <c r="Q614" i="4"/>
  <c r="S613" i="4"/>
  <c r="R613" i="4"/>
  <c r="Q613" i="4"/>
  <c r="G613" i="4"/>
  <c r="S612" i="4"/>
  <c r="R612" i="4"/>
  <c r="Q612" i="4"/>
  <c r="G612" i="4"/>
  <c r="S611" i="4"/>
  <c r="R611" i="4"/>
  <c r="Q611" i="4"/>
  <c r="G611" i="4"/>
  <c r="S610" i="4"/>
  <c r="R610" i="4"/>
  <c r="Q610" i="4"/>
  <c r="G610" i="4"/>
  <c r="S609" i="4"/>
  <c r="R609" i="4"/>
  <c r="Q609" i="4"/>
  <c r="S608" i="4"/>
  <c r="R608" i="4"/>
  <c r="Q608" i="4"/>
  <c r="G608" i="4"/>
  <c r="S607" i="4"/>
  <c r="R607" i="4"/>
  <c r="Q607" i="4"/>
  <c r="G607" i="4"/>
  <c r="S606" i="4"/>
  <c r="R606" i="4"/>
  <c r="Q606" i="4"/>
  <c r="G606" i="4"/>
  <c r="S605" i="4"/>
  <c r="R605" i="4"/>
  <c r="Q605" i="4"/>
  <c r="S604" i="4"/>
  <c r="R604" i="4"/>
  <c r="Q604" i="4"/>
  <c r="G604" i="4"/>
  <c r="S603" i="4"/>
  <c r="R603" i="4"/>
  <c r="Q603" i="4"/>
  <c r="G603" i="4"/>
  <c r="S602" i="4"/>
  <c r="R602" i="4"/>
  <c r="Q602" i="4"/>
  <c r="G602" i="4"/>
  <c r="S601" i="4"/>
  <c r="R601" i="4"/>
  <c r="Q601" i="4"/>
  <c r="S600" i="4"/>
  <c r="R600" i="4"/>
  <c r="Q600" i="4"/>
  <c r="G600" i="4"/>
  <c r="S599" i="4"/>
  <c r="R599" i="4"/>
  <c r="Q599" i="4"/>
  <c r="I599" i="4"/>
  <c r="G599" i="4"/>
  <c r="S598" i="4"/>
  <c r="R598" i="4"/>
  <c r="Q598" i="4"/>
  <c r="G598" i="4"/>
  <c r="S597" i="4"/>
  <c r="R597" i="4"/>
  <c r="Q597" i="4"/>
  <c r="G597" i="4"/>
  <c r="S596" i="4"/>
  <c r="R596" i="4"/>
  <c r="Q596" i="4"/>
  <c r="G596" i="4"/>
  <c r="S595" i="4"/>
  <c r="R595" i="4"/>
  <c r="Q595" i="4"/>
  <c r="G595" i="4"/>
  <c r="S594" i="4"/>
  <c r="R594" i="4"/>
  <c r="Q594" i="4"/>
  <c r="G594" i="4"/>
  <c r="S593" i="4"/>
  <c r="R593" i="4"/>
  <c r="Q593" i="4"/>
  <c r="G593" i="4"/>
  <c r="S592" i="4"/>
  <c r="R592" i="4"/>
  <c r="Q592" i="4"/>
  <c r="G592" i="4"/>
  <c r="S591" i="4"/>
  <c r="R591" i="4"/>
  <c r="Q591" i="4"/>
  <c r="G591" i="4"/>
  <c r="S590" i="4"/>
  <c r="R590" i="4"/>
  <c r="Q590" i="4"/>
  <c r="G590" i="4"/>
  <c r="S589" i="4"/>
  <c r="R589" i="4"/>
  <c r="Q589" i="4"/>
  <c r="G589" i="4"/>
  <c r="S588" i="4"/>
  <c r="R588" i="4"/>
  <c r="Q588" i="4"/>
  <c r="G588" i="4"/>
  <c r="S587" i="4"/>
  <c r="R587" i="4"/>
  <c r="Q587" i="4"/>
  <c r="G587" i="4"/>
  <c r="S586" i="4"/>
  <c r="R586" i="4"/>
  <c r="Q586" i="4"/>
  <c r="G586" i="4"/>
  <c r="S585" i="4"/>
  <c r="R585" i="4"/>
  <c r="Q585" i="4"/>
  <c r="G585" i="4"/>
  <c r="S584" i="4"/>
  <c r="R584" i="4"/>
  <c r="Q584" i="4"/>
  <c r="G584" i="4"/>
  <c r="S583" i="4"/>
  <c r="R583" i="4"/>
  <c r="Q583" i="4"/>
  <c r="G583" i="4"/>
  <c r="S582" i="4"/>
  <c r="R582" i="4"/>
  <c r="Q582" i="4"/>
  <c r="G582" i="4"/>
  <c r="S581" i="4"/>
  <c r="R581" i="4"/>
  <c r="Q581" i="4"/>
  <c r="G581" i="4"/>
  <c r="S580" i="4"/>
  <c r="R580" i="4"/>
  <c r="Q580" i="4"/>
  <c r="G580" i="4"/>
  <c r="S579" i="4"/>
  <c r="R579" i="4"/>
  <c r="Q579" i="4"/>
  <c r="G579" i="4"/>
  <c r="S578" i="4"/>
  <c r="R578" i="4"/>
  <c r="Q578" i="4"/>
  <c r="G578" i="4"/>
  <c r="S577" i="4"/>
  <c r="R577" i="4"/>
  <c r="Q577" i="4"/>
  <c r="G577" i="4"/>
  <c r="S576" i="4"/>
  <c r="R576" i="4"/>
  <c r="Q576" i="4"/>
  <c r="G576" i="4"/>
  <c r="S575" i="4"/>
  <c r="R575" i="4"/>
  <c r="Q575" i="4"/>
  <c r="G575" i="4"/>
  <c r="S574" i="4"/>
  <c r="R574" i="4"/>
  <c r="Q574" i="4"/>
  <c r="S573" i="4"/>
  <c r="R573" i="4"/>
  <c r="Q573" i="4"/>
  <c r="S572" i="4"/>
  <c r="R572" i="4"/>
  <c r="Q572" i="4"/>
  <c r="S571" i="4"/>
  <c r="R571" i="4"/>
  <c r="Q571" i="4"/>
  <c r="S570" i="4"/>
  <c r="R570" i="4"/>
  <c r="Q570" i="4"/>
  <c r="S569" i="4"/>
  <c r="R569" i="4"/>
  <c r="Q569" i="4"/>
  <c r="G569" i="4"/>
  <c r="S568" i="4"/>
  <c r="R568" i="4"/>
  <c r="Q568" i="4"/>
  <c r="G568" i="4"/>
  <c r="S567" i="4"/>
  <c r="R567" i="4"/>
  <c r="Q567" i="4"/>
  <c r="G567" i="4"/>
  <c r="S566" i="4"/>
  <c r="R566" i="4"/>
  <c r="Q566" i="4"/>
  <c r="G566" i="4"/>
  <c r="S565" i="4"/>
  <c r="R565" i="4"/>
  <c r="Q565" i="4"/>
  <c r="G565" i="4"/>
  <c r="S564" i="4"/>
  <c r="R564" i="4"/>
  <c r="Q564" i="4"/>
  <c r="G564" i="4"/>
  <c r="S563" i="4"/>
  <c r="R563" i="4"/>
  <c r="Q563" i="4"/>
  <c r="G563" i="4"/>
  <c r="S562" i="4"/>
  <c r="R562" i="4"/>
  <c r="Q562" i="4"/>
  <c r="I562" i="4"/>
  <c r="G562" i="4"/>
  <c r="S561" i="4"/>
  <c r="R561" i="4"/>
  <c r="Q561" i="4"/>
  <c r="G561" i="4"/>
  <c r="S560" i="4"/>
  <c r="R560" i="4"/>
  <c r="Q560" i="4"/>
  <c r="G560" i="4"/>
  <c r="S559" i="4"/>
  <c r="R559" i="4"/>
  <c r="Q559" i="4"/>
  <c r="G559" i="4"/>
  <c r="S558" i="4"/>
  <c r="R558" i="4"/>
  <c r="Q558" i="4"/>
  <c r="G558" i="4"/>
  <c r="S557" i="4"/>
  <c r="R557" i="4"/>
  <c r="Q557" i="4"/>
  <c r="G557" i="4"/>
  <c r="S556" i="4"/>
  <c r="R556" i="4"/>
  <c r="Q556" i="4"/>
  <c r="G556" i="4"/>
  <c r="S555" i="4"/>
  <c r="R555" i="4"/>
  <c r="Q555" i="4"/>
  <c r="G555" i="4"/>
  <c r="S554" i="4"/>
  <c r="R554" i="4"/>
  <c r="Q554" i="4"/>
  <c r="G554" i="4"/>
  <c r="S553" i="4"/>
  <c r="R553" i="4"/>
  <c r="Q553" i="4"/>
  <c r="G553" i="4"/>
  <c r="S552" i="4"/>
  <c r="R552" i="4"/>
  <c r="Q552" i="4"/>
  <c r="G552" i="4"/>
  <c r="S551" i="4"/>
  <c r="R551" i="4"/>
  <c r="Q551" i="4"/>
  <c r="S550" i="4"/>
  <c r="R550" i="4"/>
  <c r="Q550" i="4"/>
  <c r="G550" i="4"/>
  <c r="S549" i="4"/>
  <c r="R549" i="4"/>
  <c r="Q549" i="4"/>
  <c r="G549" i="4"/>
  <c r="S548" i="4"/>
  <c r="R548" i="4"/>
  <c r="Q548" i="4"/>
  <c r="G548" i="4"/>
  <c r="S547" i="4"/>
  <c r="R547" i="4"/>
  <c r="Q547" i="4"/>
  <c r="G547" i="4"/>
  <c r="S546" i="4"/>
  <c r="R546" i="4"/>
  <c r="Q546" i="4"/>
  <c r="G546" i="4"/>
  <c r="S545" i="4"/>
  <c r="R545" i="4"/>
  <c r="Q545" i="4"/>
  <c r="G545" i="4"/>
  <c r="S544" i="4"/>
  <c r="R544" i="4"/>
  <c r="Q544" i="4"/>
  <c r="G544" i="4"/>
  <c r="S543" i="4"/>
  <c r="R543" i="4"/>
  <c r="Q543" i="4"/>
  <c r="I543" i="4"/>
  <c r="G543" i="4"/>
  <c r="S542" i="4"/>
  <c r="R542" i="4"/>
  <c r="Q542" i="4"/>
  <c r="G542" i="4"/>
  <c r="S541" i="4"/>
  <c r="R541" i="4"/>
  <c r="Q541" i="4"/>
  <c r="G541" i="4"/>
  <c r="S540" i="4"/>
  <c r="R540" i="4"/>
  <c r="Q540" i="4"/>
  <c r="G540" i="4"/>
  <c r="S539" i="4"/>
  <c r="R539" i="4"/>
  <c r="Q539" i="4"/>
  <c r="G539" i="4"/>
  <c r="S538" i="4"/>
  <c r="R538" i="4"/>
  <c r="Q538" i="4"/>
  <c r="G538" i="4"/>
  <c r="S537" i="4"/>
  <c r="R537" i="4"/>
  <c r="Q537" i="4"/>
  <c r="G537" i="4"/>
  <c r="S536" i="4"/>
  <c r="R536" i="4"/>
  <c r="Q536" i="4"/>
  <c r="G536" i="4"/>
  <c r="S535" i="4"/>
  <c r="R535" i="4"/>
  <c r="Q535" i="4"/>
  <c r="S534" i="4"/>
  <c r="R534" i="4"/>
  <c r="Q534" i="4"/>
  <c r="S533" i="4"/>
  <c r="R533" i="4"/>
  <c r="Q533" i="4"/>
  <c r="G533" i="4"/>
  <c r="S532" i="4"/>
  <c r="R532" i="4"/>
  <c r="Q532" i="4"/>
  <c r="G532" i="4"/>
  <c r="S531" i="4"/>
  <c r="R531" i="4"/>
  <c r="Q531" i="4"/>
  <c r="G531" i="4"/>
  <c r="S530" i="4"/>
  <c r="R530" i="4"/>
  <c r="Q530" i="4"/>
  <c r="G530" i="4"/>
  <c r="S529" i="4"/>
  <c r="R529" i="4"/>
  <c r="Q529" i="4"/>
  <c r="S528" i="4"/>
  <c r="R528" i="4"/>
  <c r="Q528" i="4"/>
  <c r="G528" i="4"/>
  <c r="S527" i="4"/>
  <c r="R527" i="4"/>
  <c r="Q527" i="4"/>
  <c r="S526" i="4"/>
  <c r="R526" i="4"/>
  <c r="Q526" i="4"/>
  <c r="G526" i="4"/>
  <c r="S525" i="4"/>
  <c r="R525" i="4"/>
  <c r="Q525" i="4"/>
  <c r="G525" i="4"/>
  <c r="S524" i="4"/>
  <c r="R524" i="4"/>
  <c r="Q524" i="4"/>
  <c r="G524" i="4"/>
  <c r="S523" i="4"/>
  <c r="R523" i="4"/>
  <c r="Q523" i="4"/>
  <c r="G523" i="4"/>
  <c r="S522" i="4"/>
  <c r="R522" i="4"/>
  <c r="Q522" i="4"/>
  <c r="G522" i="4"/>
  <c r="S521" i="4"/>
  <c r="R521" i="4"/>
  <c r="Q521" i="4"/>
  <c r="I521" i="4"/>
  <c r="G521" i="4"/>
  <c r="S520" i="4"/>
  <c r="R520" i="4"/>
  <c r="Q520" i="4"/>
  <c r="G520" i="4"/>
  <c r="S519" i="4"/>
  <c r="R519" i="4"/>
  <c r="Q519" i="4"/>
  <c r="G519" i="4"/>
  <c r="S518" i="4"/>
  <c r="R518" i="4"/>
  <c r="Q518" i="4"/>
  <c r="G518" i="4"/>
  <c r="S517" i="4"/>
  <c r="R517" i="4"/>
  <c r="Q517" i="4"/>
  <c r="G517" i="4"/>
  <c r="S516" i="4"/>
  <c r="R516" i="4"/>
  <c r="Q516" i="4"/>
  <c r="G516" i="4"/>
  <c r="S515" i="4"/>
  <c r="R515" i="4"/>
  <c r="Q515" i="4"/>
  <c r="S514" i="4"/>
  <c r="R514" i="4"/>
  <c r="Q514" i="4"/>
  <c r="G514" i="4"/>
  <c r="S513" i="4"/>
  <c r="R513" i="4"/>
  <c r="Q513" i="4"/>
  <c r="G513" i="4"/>
  <c r="S512" i="4"/>
  <c r="R512" i="4"/>
  <c r="Q512" i="4"/>
  <c r="G512" i="4"/>
  <c r="S511" i="4"/>
  <c r="R511" i="4"/>
  <c r="Q511" i="4"/>
  <c r="S510" i="4"/>
  <c r="R510" i="4"/>
  <c r="Q510" i="4"/>
  <c r="G510" i="4"/>
  <c r="S509" i="4"/>
  <c r="R509" i="4"/>
  <c r="Q509" i="4"/>
  <c r="G509" i="4"/>
  <c r="S508" i="4"/>
  <c r="R508" i="4"/>
  <c r="Q508" i="4"/>
  <c r="G508" i="4"/>
  <c r="S507" i="4"/>
  <c r="R507" i="4"/>
  <c r="Q507" i="4"/>
  <c r="G507" i="4"/>
  <c r="S506" i="4"/>
  <c r="R506" i="4"/>
  <c r="Q506" i="4"/>
  <c r="G506" i="4"/>
  <c r="S505" i="4"/>
  <c r="R505" i="4"/>
  <c r="Q505" i="4"/>
  <c r="G505" i="4"/>
  <c r="S504" i="4"/>
  <c r="R504" i="4"/>
  <c r="Q504" i="4"/>
  <c r="G504" i="4"/>
  <c r="S503" i="4"/>
  <c r="R503" i="4"/>
  <c r="Q503" i="4"/>
  <c r="G503" i="4"/>
  <c r="S502" i="4"/>
  <c r="R502" i="4"/>
  <c r="Q502" i="4"/>
  <c r="G502" i="4"/>
  <c r="S501" i="4"/>
  <c r="R501" i="4"/>
  <c r="Q501" i="4"/>
  <c r="G501" i="4"/>
  <c r="S500" i="4"/>
  <c r="R500" i="4"/>
  <c r="Q500" i="4"/>
  <c r="G500" i="4"/>
  <c r="S499" i="4"/>
  <c r="R499" i="4"/>
  <c r="Q499" i="4"/>
  <c r="G499" i="4"/>
  <c r="S498" i="4"/>
  <c r="R498" i="4"/>
  <c r="Q498" i="4"/>
  <c r="G498" i="4"/>
  <c r="S497" i="4"/>
  <c r="R497" i="4"/>
  <c r="Q497" i="4"/>
  <c r="G497" i="4"/>
  <c r="S496" i="4"/>
  <c r="R496" i="4"/>
  <c r="Q496" i="4"/>
  <c r="G496" i="4"/>
  <c r="S495" i="4"/>
  <c r="R495" i="4"/>
  <c r="Q495" i="4"/>
  <c r="G495" i="4"/>
  <c r="S494" i="4"/>
  <c r="R494" i="4"/>
  <c r="Q494" i="4"/>
  <c r="G494" i="4"/>
  <c r="S493" i="4"/>
  <c r="R493" i="4"/>
  <c r="Q493" i="4"/>
  <c r="S492" i="4"/>
  <c r="R492" i="4"/>
  <c r="Q492" i="4"/>
  <c r="G492" i="4"/>
  <c r="S491" i="4"/>
  <c r="R491" i="4"/>
  <c r="Q491" i="4"/>
  <c r="S490" i="4"/>
  <c r="R490" i="4"/>
  <c r="Q490" i="4"/>
  <c r="G490" i="4"/>
  <c r="S489" i="4"/>
  <c r="R489" i="4"/>
  <c r="Q489" i="4"/>
  <c r="G489" i="4"/>
  <c r="S488" i="4"/>
  <c r="R488" i="4"/>
  <c r="Q488" i="4"/>
  <c r="I488" i="4"/>
  <c r="G488" i="4"/>
  <c r="S487" i="4"/>
  <c r="R487" i="4"/>
  <c r="Q487" i="4"/>
  <c r="G487" i="4"/>
  <c r="S486" i="4"/>
  <c r="R486" i="4"/>
  <c r="Q486" i="4"/>
  <c r="G486" i="4"/>
  <c r="S485" i="4"/>
  <c r="R485" i="4"/>
  <c r="Q485" i="4"/>
  <c r="G485" i="4"/>
  <c r="S484" i="4"/>
  <c r="R484" i="4"/>
  <c r="Q484" i="4"/>
  <c r="G484" i="4"/>
  <c r="S483" i="4"/>
  <c r="R483" i="4"/>
  <c r="Q483" i="4"/>
  <c r="G483" i="4"/>
  <c r="S482" i="4"/>
  <c r="R482" i="4"/>
  <c r="Q482" i="4"/>
  <c r="G482" i="4"/>
  <c r="S481" i="4"/>
  <c r="R481" i="4"/>
  <c r="Q481" i="4"/>
  <c r="G481" i="4"/>
  <c r="S480" i="4"/>
  <c r="R480" i="4"/>
  <c r="Q480" i="4"/>
  <c r="G480" i="4"/>
  <c r="S479" i="4"/>
  <c r="R479" i="4"/>
  <c r="Q479" i="4"/>
  <c r="G479" i="4"/>
  <c r="S478" i="4"/>
  <c r="R478" i="4"/>
  <c r="Q478" i="4"/>
  <c r="G478" i="4"/>
  <c r="S477" i="4"/>
  <c r="R477" i="4"/>
  <c r="Q477" i="4"/>
  <c r="I477" i="4"/>
  <c r="G477" i="4"/>
  <c r="S476" i="4"/>
  <c r="R476" i="4"/>
  <c r="Q476" i="4"/>
  <c r="G476" i="4"/>
  <c r="S475" i="4"/>
  <c r="R475" i="4"/>
  <c r="Q475" i="4"/>
  <c r="G475" i="4"/>
  <c r="S474" i="4"/>
  <c r="R474" i="4"/>
  <c r="Q474" i="4"/>
  <c r="G474" i="4"/>
  <c r="S473" i="4"/>
  <c r="R473" i="4"/>
  <c r="Q473" i="4"/>
  <c r="G473" i="4"/>
  <c r="S472" i="4"/>
  <c r="R472" i="4"/>
  <c r="Q472" i="4"/>
  <c r="M472" i="4"/>
  <c r="S471" i="4"/>
  <c r="R471" i="4"/>
  <c r="Q471" i="4"/>
  <c r="S470" i="4"/>
  <c r="R470" i="4"/>
  <c r="Q470" i="4"/>
  <c r="O470" i="4"/>
  <c r="S469" i="4"/>
  <c r="R469" i="4"/>
  <c r="Q469" i="4"/>
  <c r="G469" i="4"/>
  <c r="S468" i="4"/>
  <c r="R468" i="4"/>
  <c r="Q468" i="4"/>
  <c r="S467" i="4"/>
  <c r="R467" i="4"/>
  <c r="Q467" i="4"/>
  <c r="G467" i="4"/>
  <c r="S466" i="4"/>
  <c r="R466" i="4"/>
  <c r="Q466" i="4"/>
  <c r="S465" i="4"/>
  <c r="R465" i="4"/>
  <c r="Q465" i="4"/>
  <c r="G465" i="4"/>
  <c r="S464" i="4"/>
  <c r="R464" i="4"/>
  <c r="Q464" i="4"/>
  <c r="G464" i="4"/>
  <c r="S463" i="4"/>
  <c r="R463" i="4"/>
  <c r="Q463" i="4"/>
  <c r="G463" i="4"/>
  <c r="S462" i="4"/>
  <c r="R462" i="4"/>
  <c r="Q462" i="4"/>
  <c r="G462" i="4"/>
  <c r="S461" i="4"/>
  <c r="R461" i="4"/>
  <c r="Q461" i="4"/>
  <c r="G461" i="4"/>
  <c r="S460" i="4"/>
  <c r="R460" i="4"/>
  <c r="Q460" i="4"/>
  <c r="G460" i="4"/>
  <c r="S459" i="4"/>
  <c r="R459" i="4"/>
  <c r="Q459" i="4"/>
  <c r="S458" i="4"/>
  <c r="R458" i="4"/>
  <c r="Q458" i="4"/>
  <c r="G458" i="4"/>
  <c r="S457" i="4"/>
  <c r="R457" i="4"/>
  <c r="Q457" i="4"/>
  <c r="G457" i="4"/>
  <c r="S456" i="4"/>
  <c r="R456" i="4"/>
  <c r="Q456" i="4"/>
  <c r="G456" i="4"/>
  <c r="S455" i="4"/>
  <c r="R455" i="4"/>
  <c r="Q455" i="4"/>
  <c r="G455" i="4"/>
  <c r="S454" i="4"/>
  <c r="R454" i="4"/>
  <c r="Q454" i="4"/>
  <c r="G454" i="4"/>
  <c r="S453" i="4"/>
  <c r="R453" i="4"/>
  <c r="Q453" i="4"/>
  <c r="G453" i="4"/>
  <c r="S452" i="4"/>
  <c r="R452" i="4"/>
  <c r="Q452" i="4"/>
  <c r="G452" i="4"/>
  <c r="S451" i="4"/>
  <c r="R451" i="4"/>
  <c r="Q451" i="4"/>
  <c r="G451" i="4"/>
  <c r="S450" i="4"/>
  <c r="R450" i="4"/>
  <c r="Q450" i="4"/>
  <c r="I450" i="4"/>
  <c r="G450" i="4"/>
  <c r="S449" i="4"/>
  <c r="R449" i="4"/>
  <c r="Q449" i="4"/>
  <c r="G449" i="4"/>
  <c r="S448" i="4"/>
  <c r="R448" i="4"/>
  <c r="Q448" i="4"/>
  <c r="G448" i="4"/>
  <c r="S447" i="4"/>
  <c r="R447" i="4"/>
  <c r="Q447" i="4"/>
  <c r="S446" i="4"/>
  <c r="R446" i="4"/>
  <c r="Q446" i="4"/>
  <c r="G446" i="4"/>
  <c r="S445" i="4"/>
  <c r="R445" i="4"/>
  <c r="Q445" i="4"/>
  <c r="G445" i="4"/>
  <c r="S444" i="4"/>
  <c r="R444" i="4"/>
  <c r="Q444" i="4"/>
  <c r="G444" i="4"/>
  <c r="S443" i="4"/>
  <c r="R443" i="4"/>
  <c r="Q443" i="4"/>
  <c r="G443" i="4"/>
  <c r="S442" i="4"/>
  <c r="R442" i="4"/>
  <c r="Q442" i="4"/>
  <c r="G442" i="4"/>
  <c r="S441" i="4"/>
  <c r="R441" i="4"/>
  <c r="Q441" i="4"/>
  <c r="G441" i="4"/>
  <c r="S440" i="4"/>
  <c r="R440" i="4"/>
  <c r="Q440" i="4"/>
  <c r="G440" i="4"/>
  <c r="S439" i="4"/>
  <c r="R439" i="4"/>
  <c r="Q439" i="4"/>
  <c r="G439" i="4"/>
  <c r="S438" i="4"/>
  <c r="R438" i="4"/>
  <c r="Q438" i="4"/>
  <c r="G438" i="4"/>
  <c r="S437" i="4"/>
  <c r="R437" i="4"/>
  <c r="Q437" i="4"/>
  <c r="S436" i="4"/>
  <c r="R436" i="4"/>
  <c r="Q436" i="4"/>
  <c r="G436" i="4"/>
  <c r="S435" i="4"/>
  <c r="R435" i="4"/>
  <c r="Q435" i="4"/>
  <c r="G435" i="4"/>
  <c r="S434" i="4"/>
  <c r="R434" i="4"/>
  <c r="Q434" i="4"/>
  <c r="G434" i="4"/>
  <c r="S433" i="4"/>
  <c r="R433" i="4"/>
  <c r="Q433" i="4"/>
  <c r="G433" i="4"/>
  <c r="S432" i="4"/>
  <c r="R432" i="4"/>
  <c r="Q432" i="4"/>
  <c r="I432" i="4"/>
  <c r="G432" i="4"/>
  <c r="S431" i="4"/>
  <c r="R431" i="4"/>
  <c r="Q431" i="4"/>
  <c r="G431" i="4"/>
  <c r="S430" i="4"/>
  <c r="R430" i="4"/>
  <c r="Q430" i="4"/>
  <c r="G430" i="4"/>
  <c r="S429" i="4"/>
  <c r="R429" i="4"/>
  <c r="Q429" i="4"/>
  <c r="G429" i="4"/>
  <c r="S428" i="4"/>
  <c r="R428" i="4"/>
  <c r="Q428" i="4"/>
  <c r="G428" i="4"/>
  <c r="S427" i="4"/>
  <c r="R427" i="4"/>
  <c r="Q427" i="4"/>
  <c r="G427" i="4"/>
  <c r="S426" i="4"/>
  <c r="R426" i="4"/>
  <c r="Q426" i="4"/>
  <c r="I426" i="4"/>
  <c r="G426" i="4"/>
  <c r="S425" i="4"/>
  <c r="R425" i="4"/>
  <c r="Q425" i="4"/>
  <c r="G425" i="4"/>
  <c r="S424" i="4"/>
  <c r="R424" i="4"/>
  <c r="Q424" i="4"/>
  <c r="G424" i="4"/>
  <c r="S423" i="4"/>
  <c r="R423" i="4"/>
  <c r="Q423" i="4"/>
  <c r="G423" i="4"/>
  <c r="S422" i="4"/>
  <c r="R422" i="4"/>
  <c r="Q422" i="4"/>
  <c r="G422" i="4"/>
  <c r="S421" i="4"/>
  <c r="R421" i="4"/>
  <c r="Q421" i="4"/>
  <c r="G421" i="4"/>
  <c r="S420" i="4"/>
  <c r="R420" i="4"/>
  <c r="Q420" i="4"/>
  <c r="G420" i="4"/>
  <c r="S419" i="4"/>
  <c r="R419" i="4"/>
  <c r="Q419" i="4"/>
  <c r="G419" i="4"/>
  <c r="S418" i="4"/>
  <c r="R418" i="4"/>
  <c r="Q418" i="4"/>
  <c r="G418" i="4"/>
  <c r="S417" i="4"/>
  <c r="R417" i="4"/>
  <c r="Q417" i="4"/>
  <c r="G417" i="4"/>
  <c r="S416" i="4"/>
  <c r="R416" i="4"/>
  <c r="Q416" i="4"/>
  <c r="G416" i="4"/>
  <c r="S415" i="4"/>
  <c r="R415" i="4"/>
  <c r="Q415" i="4"/>
  <c r="G415" i="4"/>
  <c r="S414" i="4"/>
  <c r="R414" i="4"/>
  <c r="Q414" i="4"/>
  <c r="G414" i="4"/>
  <c r="S413" i="4"/>
  <c r="R413" i="4"/>
  <c r="Q413" i="4"/>
  <c r="G413" i="4"/>
  <c r="S412" i="4"/>
  <c r="R412" i="4"/>
  <c r="Q412" i="4"/>
  <c r="G412" i="4"/>
  <c r="S411" i="4"/>
  <c r="R411" i="4"/>
  <c r="Q411" i="4"/>
  <c r="G411" i="4"/>
  <c r="S410" i="4"/>
  <c r="R410" i="4"/>
  <c r="Q410" i="4"/>
  <c r="G410" i="4"/>
  <c r="S409" i="4"/>
  <c r="R409" i="4"/>
  <c r="Q409" i="4"/>
  <c r="G409" i="4"/>
  <c r="S408" i="4"/>
  <c r="R408" i="4"/>
  <c r="Q408" i="4"/>
  <c r="G408" i="4"/>
  <c r="S407" i="4"/>
  <c r="R407" i="4"/>
  <c r="Q407" i="4"/>
  <c r="G407" i="4"/>
  <c r="S406" i="4"/>
  <c r="R406" i="4"/>
  <c r="Q406" i="4"/>
  <c r="G406" i="4"/>
  <c r="S405" i="4"/>
  <c r="R405" i="4"/>
  <c r="Q405" i="4"/>
  <c r="S404" i="4"/>
  <c r="R404" i="4"/>
  <c r="Q404" i="4"/>
  <c r="G404" i="4"/>
  <c r="S403" i="4"/>
  <c r="R403" i="4"/>
  <c r="Q403" i="4"/>
  <c r="G403" i="4"/>
  <c r="S402" i="4"/>
  <c r="R402" i="4"/>
  <c r="Q402" i="4"/>
  <c r="G402" i="4"/>
  <c r="S401" i="4"/>
  <c r="R401" i="4"/>
  <c r="Q401" i="4"/>
  <c r="G401" i="4"/>
  <c r="S400" i="4"/>
  <c r="R400" i="4"/>
  <c r="Q400" i="4"/>
  <c r="G400" i="4"/>
  <c r="S399" i="4"/>
  <c r="R399" i="4"/>
  <c r="Q399" i="4"/>
  <c r="G399" i="4"/>
  <c r="S398" i="4"/>
  <c r="R398" i="4"/>
  <c r="Q398" i="4"/>
  <c r="G398" i="4"/>
  <c r="S397" i="4"/>
  <c r="R397" i="4"/>
  <c r="Q397" i="4"/>
  <c r="G397" i="4"/>
  <c r="S396" i="4"/>
  <c r="R396" i="4"/>
  <c r="Q396" i="4"/>
  <c r="I396" i="4"/>
  <c r="G396" i="4"/>
  <c r="S395" i="4"/>
  <c r="R395" i="4"/>
  <c r="Q395" i="4"/>
  <c r="G395" i="4"/>
  <c r="S394" i="4"/>
  <c r="R394" i="4"/>
  <c r="Q394" i="4"/>
  <c r="I394" i="4"/>
  <c r="G394" i="4"/>
  <c r="S393" i="4"/>
  <c r="R393" i="4"/>
  <c r="Q393" i="4"/>
  <c r="G393" i="4"/>
  <c r="S392" i="4"/>
  <c r="R392" i="4"/>
  <c r="Q392" i="4"/>
  <c r="G392" i="4"/>
  <c r="S391" i="4"/>
  <c r="R391" i="4"/>
  <c r="Q391" i="4"/>
  <c r="G391" i="4"/>
  <c r="S390" i="4"/>
  <c r="R390" i="4"/>
  <c r="Q390" i="4"/>
  <c r="G390" i="4"/>
  <c r="S389" i="4"/>
  <c r="R389" i="4"/>
  <c r="Q389" i="4"/>
  <c r="G389" i="4"/>
  <c r="S388" i="4"/>
  <c r="R388" i="4"/>
  <c r="Q388" i="4"/>
  <c r="I388" i="4"/>
  <c r="G388" i="4"/>
  <c r="S387" i="4"/>
  <c r="R387" i="4"/>
  <c r="Q387" i="4"/>
  <c r="G387" i="4"/>
  <c r="S386" i="4"/>
  <c r="R386" i="4"/>
  <c r="Q386" i="4"/>
  <c r="G386" i="4"/>
  <c r="S385" i="4"/>
  <c r="R385" i="4"/>
  <c r="Q385" i="4"/>
  <c r="G385" i="4"/>
  <c r="S384" i="4"/>
  <c r="R384" i="4"/>
  <c r="Q384" i="4"/>
  <c r="G384" i="4"/>
  <c r="S383" i="4"/>
  <c r="R383" i="4"/>
  <c r="Q383" i="4"/>
  <c r="G383" i="4"/>
  <c r="S382" i="4"/>
  <c r="R382" i="4"/>
  <c r="Q382" i="4"/>
  <c r="G382" i="4"/>
  <c r="S381" i="4"/>
  <c r="R381" i="4"/>
  <c r="Q381" i="4"/>
  <c r="G381" i="4"/>
  <c r="S380" i="4"/>
  <c r="R380" i="4"/>
  <c r="Q380" i="4"/>
  <c r="G380" i="4"/>
  <c r="S379" i="4"/>
  <c r="R379" i="4"/>
  <c r="Q379" i="4"/>
  <c r="I379" i="4"/>
  <c r="G379" i="4"/>
  <c r="S378" i="4"/>
  <c r="R378" i="4"/>
  <c r="Q378" i="4"/>
  <c r="G378" i="4"/>
  <c r="S377" i="4"/>
  <c r="R377" i="4"/>
  <c r="Q377" i="4"/>
  <c r="G377" i="4"/>
  <c r="S376" i="4"/>
  <c r="R376" i="4"/>
  <c r="Q376" i="4"/>
  <c r="I376" i="4"/>
  <c r="G376" i="4"/>
  <c r="S375" i="4"/>
  <c r="R375" i="4"/>
  <c r="Q375" i="4"/>
  <c r="G375" i="4"/>
  <c r="S374" i="4"/>
  <c r="R374" i="4"/>
  <c r="Q374" i="4"/>
  <c r="G374" i="4"/>
  <c r="S373" i="4"/>
  <c r="R373" i="4"/>
  <c r="Q373" i="4"/>
  <c r="G373" i="4"/>
  <c r="S372" i="4"/>
  <c r="R372" i="4"/>
  <c r="Q372" i="4"/>
  <c r="G372" i="4"/>
  <c r="S371" i="4"/>
  <c r="R371" i="4"/>
  <c r="Q371" i="4"/>
  <c r="G371" i="4"/>
  <c r="S370" i="4"/>
  <c r="R370" i="4"/>
  <c r="Q370" i="4"/>
  <c r="G370" i="4"/>
  <c r="S369" i="4"/>
  <c r="R369" i="4"/>
  <c r="Q369" i="4"/>
  <c r="G369" i="4"/>
  <c r="S368" i="4"/>
  <c r="R368" i="4"/>
  <c r="Q368" i="4"/>
  <c r="G368" i="4"/>
  <c r="S367" i="4"/>
  <c r="R367" i="4"/>
  <c r="Q367" i="4"/>
  <c r="G367" i="4"/>
  <c r="S366" i="4"/>
  <c r="R366" i="4"/>
  <c r="Q366" i="4"/>
  <c r="G366" i="4"/>
  <c r="S365" i="4"/>
  <c r="R365" i="4"/>
  <c r="Q365" i="4"/>
  <c r="G365" i="4"/>
  <c r="S364" i="4"/>
  <c r="R364" i="4"/>
  <c r="Q364" i="4"/>
  <c r="G364" i="4"/>
  <c r="S363" i="4"/>
  <c r="R363" i="4"/>
  <c r="Q363" i="4"/>
  <c r="G363" i="4"/>
  <c r="S362" i="4"/>
  <c r="R362" i="4"/>
  <c r="Q362" i="4"/>
  <c r="G362" i="4"/>
  <c r="S361" i="4"/>
  <c r="R361" i="4"/>
  <c r="Q361" i="4"/>
  <c r="G361" i="4"/>
  <c r="S360" i="4"/>
  <c r="R360" i="4"/>
  <c r="Q360" i="4"/>
  <c r="G360" i="4"/>
  <c r="S359" i="4"/>
  <c r="R359" i="4"/>
  <c r="Q359" i="4"/>
  <c r="G359" i="4"/>
  <c r="S358" i="4"/>
  <c r="R358" i="4"/>
  <c r="Q358" i="4"/>
  <c r="G358" i="4"/>
  <c r="S357" i="4"/>
  <c r="R357" i="4"/>
  <c r="Q357" i="4"/>
  <c r="G357" i="4"/>
  <c r="S356" i="4"/>
  <c r="R356" i="4"/>
  <c r="Q356" i="4"/>
  <c r="S355" i="4"/>
  <c r="R355" i="4"/>
  <c r="Q355" i="4"/>
  <c r="G355" i="4"/>
  <c r="S354" i="4"/>
  <c r="R354" i="4"/>
  <c r="Q354" i="4"/>
  <c r="G354" i="4"/>
  <c r="S353" i="4"/>
  <c r="R353" i="4"/>
  <c r="Q353" i="4"/>
  <c r="G353" i="4"/>
  <c r="S352" i="4"/>
  <c r="R352" i="4"/>
  <c r="Q352" i="4"/>
  <c r="I352" i="4"/>
  <c r="G352" i="4"/>
  <c r="S351" i="4"/>
  <c r="R351" i="4"/>
  <c r="Q351" i="4"/>
  <c r="G351" i="4"/>
  <c r="S350" i="4"/>
  <c r="R350" i="4"/>
  <c r="Q350" i="4"/>
  <c r="I350" i="4"/>
  <c r="G350" i="4"/>
  <c r="S349" i="4"/>
  <c r="R349" i="4"/>
  <c r="Q349" i="4"/>
  <c r="I349" i="4"/>
  <c r="G349" i="4"/>
  <c r="S348" i="4"/>
  <c r="R348" i="4"/>
  <c r="Q348" i="4"/>
  <c r="G348" i="4"/>
  <c r="S347" i="4"/>
  <c r="R347" i="4"/>
  <c r="Q347" i="4"/>
  <c r="G347" i="4"/>
  <c r="S346" i="4"/>
  <c r="R346" i="4"/>
  <c r="Q346" i="4"/>
  <c r="G346" i="4"/>
  <c r="S345" i="4"/>
  <c r="R345" i="4"/>
  <c r="Q345" i="4"/>
  <c r="G345" i="4"/>
  <c r="S344" i="4"/>
  <c r="R344" i="4"/>
  <c r="Q344" i="4"/>
  <c r="G344" i="4"/>
  <c r="S343" i="4"/>
  <c r="R343" i="4"/>
  <c r="Q343" i="4"/>
  <c r="G343" i="4"/>
  <c r="S342" i="4"/>
  <c r="R342" i="4"/>
  <c r="Q342" i="4"/>
  <c r="G342" i="4"/>
  <c r="S341" i="4"/>
  <c r="R341" i="4"/>
  <c r="Q341" i="4"/>
  <c r="G341" i="4"/>
  <c r="S340" i="4"/>
  <c r="R340" i="4"/>
  <c r="Q340" i="4"/>
  <c r="G340" i="4"/>
  <c r="S339" i="4"/>
  <c r="R339" i="4"/>
  <c r="Q339" i="4"/>
  <c r="G339" i="4"/>
  <c r="S338" i="4"/>
  <c r="R338" i="4"/>
  <c r="Q338" i="4"/>
  <c r="I338" i="4"/>
  <c r="G338" i="4"/>
  <c r="S337" i="4"/>
  <c r="R337" i="4"/>
  <c r="Q337" i="4"/>
  <c r="G337" i="4"/>
  <c r="S336" i="4"/>
  <c r="R336" i="4"/>
  <c r="Q336" i="4"/>
  <c r="G336" i="4"/>
  <c r="S335" i="4"/>
  <c r="R335" i="4"/>
  <c r="Q335" i="4"/>
  <c r="G335" i="4"/>
  <c r="S334" i="4"/>
  <c r="R334" i="4"/>
  <c r="Q334" i="4"/>
  <c r="G334" i="4"/>
  <c r="S333" i="4"/>
  <c r="R333" i="4"/>
  <c r="Q333" i="4"/>
  <c r="I333" i="4"/>
  <c r="G333" i="4"/>
  <c r="S332" i="4"/>
  <c r="R332" i="4"/>
  <c r="Q332" i="4"/>
  <c r="G332" i="4"/>
  <c r="S331" i="4"/>
  <c r="R331" i="4"/>
  <c r="Q331" i="4"/>
  <c r="G331" i="4"/>
  <c r="S330" i="4"/>
  <c r="R330" i="4"/>
  <c r="Q330" i="4"/>
  <c r="G330" i="4"/>
  <c r="S329" i="4"/>
  <c r="R329" i="4"/>
  <c r="Q329" i="4"/>
  <c r="G329" i="4"/>
  <c r="S328" i="4"/>
  <c r="R328" i="4"/>
  <c r="Q328" i="4"/>
  <c r="G328" i="4"/>
  <c r="S327" i="4"/>
  <c r="R327" i="4"/>
  <c r="Q327" i="4"/>
  <c r="G327" i="4"/>
  <c r="S326" i="4"/>
  <c r="R326" i="4"/>
  <c r="Q326" i="4"/>
  <c r="G326" i="4"/>
  <c r="S325" i="4"/>
  <c r="R325" i="4"/>
  <c r="Q325" i="4"/>
  <c r="G325" i="4"/>
  <c r="S324" i="4"/>
  <c r="R324" i="4"/>
  <c r="Q324" i="4"/>
  <c r="G324" i="4"/>
  <c r="S323" i="4"/>
  <c r="R323" i="4"/>
  <c r="Q323" i="4"/>
  <c r="G323" i="4"/>
  <c r="S322" i="4"/>
  <c r="R322" i="4"/>
  <c r="Q322" i="4"/>
  <c r="G322" i="4"/>
  <c r="S321" i="4"/>
  <c r="R321" i="4"/>
  <c r="Q321" i="4"/>
  <c r="G321" i="4"/>
  <c r="S320" i="4"/>
  <c r="R320" i="4"/>
  <c r="Q320" i="4"/>
  <c r="G320" i="4"/>
  <c r="S319" i="4"/>
  <c r="R319" i="4"/>
  <c r="Q319" i="4"/>
  <c r="I319" i="4"/>
  <c r="G319" i="4"/>
  <c r="S318" i="4"/>
  <c r="R318" i="4"/>
  <c r="Q318" i="4"/>
  <c r="G318" i="4"/>
  <c r="S317" i="4"/>
  <c r="R317" i="4"/>
  <c r="Q317" i="4"/>
  <c r="S316" i="4"/>
  <c r="R316" i="4"/>
  <c r="Q316" i="4"/>
  <c r="G316" i="4"/>
  <c r="S315" i="4"/>
  <c r="R315" i="4"/>
  <c r="Q315" i="4"/>
  <c r="G315" i="4"/>
  <c r="S314" i="4"/>
  <c r="R314" i="4"/>
  <c r="Q314" i="4"/>
  <c r="G314" i="4"/>
  <c r="S313" i="4"/>
  <c r="R313" i="4"/>
  <c r="Q313" i="4"/>
  <c r="I313" i="4"/>
  <c r="G313" i="4"/>
  <c r="S312" i="4"/>
  <c r="R312" i="4"/>
  <c r="Q312" i="4"/>
  <c r="G312" i="4"/>
  <c r="S311" i="4"/>
  <c r="R311" i="4"/>
  <c r="Q311" i="4"/>
  <c r="G311" i="4"/>
  <c r="S310" i="4"/>
  <c r="R310" i="4"/>
  <c r="Q310" i="4"/>
  <c r="I310" i="4"/>
  <c r="G310" i="4"/>
  <c r="S309" i="4"/>
  <c r="R309" i="4"/>
  <c r="Q309" i="4"/>
  <c r="G309" i="4"/>
  <c r="S308" i="4"/>
  <c r="R308" i="4"/>
  <c r="Q308" i="4"/>
  <c r="G308" i="4"/>
  <c r="S307" i="4"/>
  <c r="R307" i="4"/>
  <c r="Q307" i="4"/>
  <c r="G307" i="4"/>
  <c r="S306" i="4"/>
  <c r="R306" i="4"/>
  <c r="Q306" i="4"/>
  <c r="G306" i="4"/>
  <c r="S305" i="4"/>
  <c r="R305" i="4"/>
  <c r="Q305" i="4"/>
  <c r="I305" i="4"/>
  <c r="G305" i="4"/>
  <c r="S304" i="4"/>
  <c r="R304" i="4"/>
  <c r="Q304" i="4"/>
  <c r="G304" i="4"/>
  <c r="S303" i="4"/>
  <c r="R303" i="4"/>
  <c r="Q303" i="4"/>
  <c r="G303" i="4"/>
  <c r="S302" i="4"/>
  <c r="R302" i="4"/>
  <c r="Q302" i="4"/>
  <c r="G302" i="4"/>
  <c r="S301" i="4"/>
  <c r="R301" i="4"/>
  <c r="Q301" i="4"/>
  <c r="G301" i="4"/>
  <c r="S300" i="4"/>
  <c r="R300" i="4"/>
  <c r="Q300" i="4"/>
  <c r="G300" i="4"/>
  <c r="S299" i="4"/>
  <c r="R299" i="4"/>
  <c r="Q299" i="4"/>
  <c r="G299" i="4"/>
  <c r="S298" i="4"/>
  <c r="R298" i="4"/>
  <c r="Q298" i="4"/>
  <c r="G298" i="4"/>
  <c r="S297" i="4"/>
  <c r="R297" i="4"/>
  <c r="Q297" i="4"/>
  <c r="G297" i="4"/>
  <c r="S296" i="4"/>
  <c r="R296" i="4"/>
  <c r="Q296" i="4"/>
  <c r="G296" i="4"/>
  <c r="S295" i="4"/>
  <c r="R295" i="4"/>
  <c r="Q295" i="4"/>
  <c r="G295" i="4"/>
  <c r="S294" i="4"/>
  <c r="R294" i="4"/>
  <c r="Q294" i="4"/>
  <c r="G294" i="4"/>
  <c r="S293" i="4"/>
  <c r="R293" i="4"/>
  <c r="Q293" i="4"/>
  <c r="G293" i="4"/>
  <c r="S292" i="4"/>
  <c r="R292" i="4"/>
  <c r="Q292" i="4"/>
  <c r="G292" i="4"/>
  <c r="S291" i="4"/>
  <c r="R291" i="4"/>
  <c r="Q291" i="4"/>
  <c r="G291" i="4"/>
  <c r="S290" i="4"/>
  <c r="R290" i="4"/>
  <c r="Q290" i="4"/>
  <c r="G290" i="4"/>
  <c r="S289" i="4"/>
  <c r="R289" i="4"/>
  <c r="Q289" i="4"/>
  <c r="S288" i="4"/>
  <c r="R288" i="4"/>
  <c r="Q288" i="4"/>
  <c r="G288" i="4"/>
  <c r="S287" i="4"/>
  <c r="R287" i="4"/>
  <c r="Q287" i="4"/>
  <c r="G287" i="4"/>
  <c r="S286" i="4"/>
  <c r="R286" i="4"/>
  <c r="Q286" i="4"/>
  <c r="G286" i="4"/>
  <c r="S285" i="4"/>
  <c r="R285" i="4"/>
  <c r="Q285" i="4"/>
  <c r="I285" i="4"/>
  <c r="G285" i="4"/>
  <c r="S284" i="4"/>
  <c r="R284" i="4"/>
  <c r="Q284" i="4"/>
  <c r="G284" i="4"/>
  <c r="S283" i="4"/>
  <c r="R283" i="4"/>
  <c r="Q283" i="4"/>
  <c r="G283" i="4"/>
  <c r="S282" i="4"/>
  <c r="R282" i="4"/>
  <c r="Q282" i="4"/>
  <c r="G282" i="4"/>
  <c r="S281" i="4"/>
  <c r="R281" i="4"/>
  <c r="Q281" i="4"/>
  <c r="G281" i="4"/>
  <c r="S280" i="4"/>
  <c r="R280" i="4"/>
  <c r="Q280" i="4"/>
  <c r="G280" i="4"/>
  <c r="S279" i="4"/>
  <c r="R279" i="4"/>
  <c r="Q279" i="4"/>
  <c r="G279" i="4"/>
  <c r="S278" i="4"/>
  <c r="R278" i="4"/>
  <c r="Q278" i="4"/>
  <c r="G278" i="4"/>
  <c r="S277" i="4"/>
  <c r="R277" i="4"/>
  <c r="Q277" i="4"/>
  <c r="G277" i="4"/>
  <c r="S276" i="4"/>
  <c r="R276" i="4"/>
  <c r="Q276" i="4"/>
  <c r="G276" i="4"/>
  <c r="S275" i="4"/>
  <c r="R275" i="4"/>
  <c r="Q275" i="4"/>
  <c r="G275" i="4"/>
  <c r="S274" i="4"/>
  <c r="R274" i="4"/>
  <c r="Q274" i="4"/>
  <c r="G274" i="4"/>
  <c r="S273" i="4"/>
  <c r="R273" i="4"/>
  <c r="Q273" i="4"/>
  <c r="G273" i="4"/>
  <c r="S272" i="4"/>
  <c r="R272" i="4"/>
  <c r="Q272" i="4"/>
  <c r="S271" i="4"/>
  <c r="R271" i="4"/>
  <c r="Q271" i="4"/>
  <c r="G271" i="4"/>
  <c r="S270" i="4"/>
  <c r="R270" i="4"/>
  <c r="Q270" i="4"/>
  <c r="G270" i="4"/>
  <c r="S269" i="4"/>
  <c r="R269" i="4"/>
  <c r="Q269" i="4"/>
  <c r="I269" i="4"/>
  <c r="G269" i="4"/>
  <c r="S268" i="4"/>
  <c r="R268" i="4"/>
  <c r="Q268" i="4"/>
  <c r="G268" i="4"/>
  <c r="S267" i="4"/>
  <c r="R267" i="4"/>
  <c r="Q267" i="4"/>
  <c r="G267" i="4"/>
  <c r="S266" i="4"/>
  <c r="R266" i="4"/>
  <c r="Q266" i="4"/>
  <c r="I266" i="4"/>
  <c r="G266" i="4"/>
  <c r="S265" i="4"/>
  <c r="R265" i="4"/>
  <c r="Q265" i="4"/>
  <c r="G265" i="4"/>
  <c r="S264" i="4"/>
  <c r="R264" i="4"/>
  <c r="Q264" i="4"/>
  <c r="G264" i="4"/>
  <c r="S263" i="4"/>
  <c r="R263" i="4"/>
  <c r="Q263" i="4"/>
  <c r="G263" i="4"/>
  <c r="S262" i="4"/>
  <c r="R262" i="4"/>
  <c r="Q262" i="4"/>
  <c r="G262" i="4"/>
  <c r="S261" i="4"/>
  <c r="R261" i="4"/>
  <c r="Q261" i="4"/>
  <c r="S260" i="4"/>
  <c r="R260" i="4"/>
  <c r="Q260" i="4"/>
  <c r="G260" i="4"/>
  <c r="S259" i="4"/>
  <c r="R259" i="4"/>
  <c r="Q259" i="4"/>
  <c r="I259" i="4"/>
  <c r="G259" i="4"/>
  <c r="S258" i="4"/>
  <c r="R258" i="4"/>
  <c r="Q258" i="4"/>
  <c r="G258" i="4"/>
  <c r="S257" i="4"/>
  <c r="R257" i="4"/>
  <c r="Q257" i="4"/>
  <c r="M257" i="4"/>
  <c r="G257" i="4"/>
  <c r="S256" i="4"/>
  <c r="R256" i="4"/>
  <c r="Q256" i="4"/>
  <c r="G256" i="4"/>
  <c r="S255" i="4"/>
  <c r="R255" i="4"/>
  <c r="Q255" i="4"/>
  <c r="G255" i="4"/>
  <c r="S254" i="4"/>
  <c r="R254" i="4"/>
  <c r="Q254" i="4"/>
  <c r="G254" i="4"/>
  <c r="S253" i="4"/>
  <c r="R253" i="4"/>
  <c r="Q253" i="4"/>
  <c r="G253" i="4"/>
  <c r="S252" i="4"/>
  <c r="R252" i="4"/>
  <c r="Q252" i="4"/>
  <c r="G252" i="4"/>
  <c r="S251" i="4"/>
  <c r="R251" i="4"/>
  <c r="Q251" i="4"/>
  <c r="G251" i="4"/>
  <c r="S250" i="4"/>
  <c r="R250" i="4"/>
  <c r="Q250" i="4"/>
  <c r="G250" i="4"/>
  <c r="S249" i="4"/>
  <c r="R249" i="4"/>
  <c r="Q249" i="4"/>
  <c r="I249" i="4"/>
  <c r="G249" i="4"/>
  <c r="S248" i="4"/>
  <c r="R248" i="4"/>
  <c r="Q248" i="4"/>
  <c r="G248" i="4"/>
  <c r="S247" i="4"/>
  <c r="R247" i="4"/>
  <c r="Q247" i="4"/>
  <c r="G247" i="4"/>
  <c r="S246" i="4"/>
  <c r="R246" i="4"/>
  <c r="Q246" i="4"/>
  <c r="G246" i="4"/>
  <c r="S245" i="4"/>
  <c r="R245" i="4"/>
  <c r="Q245" i="4"/>
  <c r="G245" i="4"/>
  <c r="S244" i="4"/>
  <c r="R244" i="4"/>
  <c r="Q244" i="4"/>
  <c r="G244" i="4"/>
  <c r="S243" i="4"/>
  <c r="R243" i="4"/>
  <c r="Q243" i="4"/>
  <c r="G243" i="4"/>
  <c r="S242" i="4"/>
  <c r="R242" i="4"/>
  <c r="Q242" i="4"/>
  <c r="G242" i="4"/>
  <c r="S241" i="4"/>
  <c r="R241" i="4"/>
  <c r="Q241" i="4"/>
  <c r="G241" i="4"/>
  <c r="S240" i="4"/>
  <c r="R240" i="4"/>
  <c r="Q240" i="4"/>
  <c r="G240" i="4"/>
  <c r="S239" i="4"/>
  <c r="R239" i="4"/>
  <c r="Q239" i="4"/>
  <c r="G239" i="4"/>
  <c r="S238" i="4"/>
  <c r="R238" i="4"/>
  <c r="Q238" i="4"/>
  <c r="G238" i="4"/>
  <c r="S237" i="4"/>
  <c r="R237" i="4"/>
  <c r="Q237" i="4"/>
  <c r="G237" i="4"/>
  <c r="S236" i="4"/>
  <c r="R236" i="4"/>
  <c r="Q236" i="4"/>
  <c r="G236" i="4"/>
  <c r="S235" i="4"/>
  <c r="R235" i="4"/>
  <c r="Q235" i="4"/>
  <c r="G235" i="4"/>
  <c r="S234" i="4"/>
  <c r="R234" i="4"/>
  <c r="Q234" i="4"/>
  <c r="G234" i="4"/>
  <c r="S233" i="4"/>
  <c r="R233" i="4"/>
  <c r="Q233" i="4"/>
  <c r="G233" i="4"/>
  <c r="S232" i="4"/>
  <c r="R232" i="4"/>
  <c r="Q232" i="4"/>
  <c r="I232" i="4"/>
  <c r="G232" i="4"/>
  <c r="S231" i="4"/>
  <c r="R231" i="4"/>
  <c r="Q231" i="4"/>
  <c r="G231" i="4"/>
  <c r="S230" i="4"/>
  <c r="R230" i="4"/>
  <c r="Q230" i="4"/>
  <c r="G230" i="4"/>
  <c r="S229" i="4"/>
  <c r="R229" i="4"/>
  <c r="Q229" i="4"/>
  <c r="G229" i="4"/>
  <c r="S228" i="4"/>
  <c r="R228" i="4"/>
  <c r="Q228" i="4"/>
  <c r="G228" i="4"/>
  <c r="S227" i="4"/>
  <c r="R227" i="4"/>
  <c r="Q227" i="4"/>
  <c r="G227" i="4"/>
  <c r="S226" i="4"/>
  <c r="R226" i="4"/>
  <c r="Q226" i="4"/>
  <c r="I226" i="4"/>
  <c r="G226" i="4"/>
  <c r="S225" i="4"/>
  <c r="R225" i="4"/>
  <c r="Q225" i="4"/>
  <c r="G225" i="4"/>
  <c r="S224" i="4"/>
  <c r="R224" i="4"/>
  <c r="Q224" i="4"/>
  <c r="I224" i="4"/>
  <c r="G224" i="4"/>
  <c r="S223" i="4"/>
  <c r="R223" i="4"/>
  <c r="Q223" i="4"/>
  <c r="S222" i="4"/>
  <c r="R222" i="4"/>
  <c r="Q222" i="4"/>
  <c r="G222" i="4"/>
  <c r="S221" i="4"/>
  <c r="R221" i="4"/>
  <c r="Q221" i="4"/>
  <c r="G221" i="4"/>
  <c r="S220" i="4"/>
  <c r="R220" i="4"/>
  <c r="Q220" i="4"/>
  <c r="I220" i="4"/>
  <c r="G220" i="4"/>
  <c r="S219" i="4"/>
  <c r="R219" i="4"/>
  <c r="Q219" i="4"/>
  <c r="G219" i="4"/>
  <c r="S218" i="4"/>
  <c r="R218" i="4"/>
  <c r="Q218" i="4"/>
  <c r="G218" i="4"/>
  <c r="S217" i="4"/>
  <c r="R217" i="4"/>
  <c r="Q217" i="4"/>
  <c r="S216" i="4"/>
  <c r="R216" i="4"/>
  <c r="Q216" i="4"/>
  <c r="G216" i="4"/>
  <c r="S215" i="4"/>
  <c r="R215" i="4"/>
  <c r="Q215" i="4"/>
  <c r="G215" i="4"/>
  <c r="S214" i="4"/>
  <c r="R214" i="4"/>
  <c r="Q214" i="4"/>
  <c r="I214" i="4"/>
  <c r="G214" i="4"/>
  <c r="S213" i="4"/>
  <c r="R213" i="4"/>
  <c r="Q213" i="4"/>
  <c r="G213" i="4"/>
  <c r="S212" i="4"/>
  <c r="R212" i="4"/>
  <c r="Q212" i="4"/>
  <c r="G212" i="4"/>
  <c r="S211" i="4"/>
  <c r="R211" i="4"/>
  <c r="Q211" i="4"/>
  <c r="G211" i="4"/>
  <c r="S210" i="4"/>
  <c r="R210" i="4"/>
  <c r="Q210" i="4"/>
  <c r="G210" i="4"/>
  <c r="S209" i="4"/>
  <c r="R209" i="4"/>
  <c r="Q209" i="4"/>
  <c r="G209" i="4"/>
  <c r="S208" i="4"/>
  <c r="R208" i="4"/>
  <c r="Q208" i="4"/>
  <c r="G208" i="4"/>
  <c r="S207" i="4"/>
  <c r="R207" i="4"/>
  <c r="Q207" i="4"/>
  <c r="G207" i="4"/>
  <c r="S206" i="4"/>
  <c r="R206" i="4"/>
  <c r="Q206" i="4"/>
  <c r="G206" i="4"/>
  <c r="S205" i="4"/>
  <c r="R205" i="4"/>
  <c r="Q205" i="4"/>
  <c r="G205" i="4"/>
  <c r="S204" i="4"/>
  <c r="R204" i="4"/>
  <c r="Q204" i="4"/>
  <c r="I204" i="4"/>
  <c r="G204" i="4"/>
  <c r="S203" i="4"/>
  <c r="R203" i="4"/>
  <c r="Q203" i="4"/>
  <c r="G203" i="4"/>
  <c r="S202" i="4"/>
  <c r="R202" i="4"/>
  <c r="Q202" i="4"/>
  <c r="G202" i="4"/>
  <c r="S201" i="4"/>
  <c r="R201" i="4"/>
  <c r="Q201" i="4"/>
  <c r="G201" i="4"/>
  <c r="S200" i="4"/>
  <c r="R200" i="4"/>
  <c r="Q200" i="4"/>
  <c r="G200" i="4"/>
  <c r="S199" i="4"/>
  <c r="R199" i="4"/>
  <c r="Q199" i="4"/>
  <c r="G199" i="4"/>
  <c r="S198" i="4"/>
  <c r="R198" i="4"/>
  <c r="Q198" i="4"/>
  <c r="G198" i="4"/>
  <c r="S197" i="4"/>
  <c r="R197" i="4"/>
  <c r="Q197" i="4"/>
  <c r="G197" i="4"/>
  <c r="S196" i="4"/>
  <c r="R196" i="4"/>
  <c r="Q196" i="4"/>
  <c r="G196" i="4"/>
  <c r="S195" i="4"/>
  <c r="R195" i="4"/>
  <c r="Q195" i="4"/>
  <c r="G195" i="4"/>
  <c r="S194" i="4"/>
  <c r="R194" i="4"/>
  <c r="Q194" i="4"/>
  <c r="G194" i="4"/>
  <c r="S193" i="4"/>
  <c r="R193" i="4"/>
  <c r="Q193" i="4"/>
  <c r="G193" i="4"/>
  <c r="S192" i="4"/>
  <c r="R192" i="4"/>
  <c r="Q192" i="4"/>
  <c r="S191" i="4"/>
  <c r="R191" i="4"/>
  <c r="Q191" i="4"/>
  <c r="G191" i="4"/>
  <c r="S190" i="4"/>
  <c r="R190" i="4"/>
  <c r="Q190" i="4"/>
  <c r="I190" i="4"/>
  <c r="G190" i="4"/>
  <c r="S189" i="4"/>
  <c r="R189" i="4"/>
  <c r="Q189" i="4"/>
  <c r="G189" i="4"/>
  <c r="S188" i="4"/>
  <c r="R188" i="4"/>
  <c r="Q188" i="4"/>
  <c r="G188" i="4"/>
  <c r="S187" i="4"/>
  <c r="R187" i="4"/>
  <c r="Q187" i="4"/>
  <c r="G187" i="4"/>
  <c r="S186" i="4"/>
  <c r="R186" i="4"/>
  <c r="Q186" i="4"/>
  <c r="G186" i="4"/>
  <c r="S185" i="4"/>
  <c r="R185" i="4"/>
  <c r="Q185" i="4"/>
  <c r="G185" i="4"/>
  <c r="S184" i="4"/>
  <c r="R184" i="4"/>
  <c r="Q184" i="4"/>
  <c r="G184" i="4"/>
  <c r="S183" i="4"/>
  <c r="R183" i="4"/>
  <c r="Q183" i="4"/>
  <c r="G183" i="4"/>
  <c r="S182" i="4"/>
  <c r="R182" i="4"/>
  <c r="Q182" i="4"/>
  <c r="S181" i="4"/>
  <c r="R181" i="4"/>
  <c r="Q181" i="4"/>
  <c r="G181" i="4"/>
  <c r="S180" i="4"/>
  <c r="R180" i="4"/>
  <c r="Q180" i="4"/>
  <c r="G180" i="4"/>
  <c r="S179" i="4"/>
  <c r="R179" i="4"/>
  <c r="Q179" i="4"/>
  <c r="G179" i="4"/>
  <c r="S178" i="4"/>
  <c r="R178" i="4"/>
  <c r="Q178" i="4"/>
  <c r="G178" i="4"/>
  <c r="S177" i="4"/>
  <c r="R177" i="4"/>
  <c r="Q177" i="4"/>
  <c r="G177" i="4"/>
  <c r="S176" i="4"/>
  <c r="R176" i="4"/>
  <c r="Q176" i="4"/>
  <c r="G176" i="4"/>
  <c r="S175" i="4"/>
  <c r="R175" i="4"/>
  <c r="Q175" i="4"/>
  <c r="G175" i="4"/>
  <c r="S174" i="4"/>
  <c r="R174" i="4"/>
  <c r="Q174" i="4"/>
  <c r="G174" i="4"/>
  <c r="S173" i="4"/>
  <c r="R173" i="4"/>
  <c r="Q173" i="4"/>
  <c r="G173" i="4"/>
  <c r="S172" i="4"/>
  <c r="R172" i="4"/>
  <c r="Q172" i="4"/>
  <c r="G172" i="4"/>
  <c r="S171" i="4"/>
  <c r="R171" i="4"/>
  <c r="Q171" i="4"/>
  <c r="S170" i="4"/>
  <c r="R170" i="4"/>
  <c r="Q170" i="4"/>
  <c r="G170" i="4"/>
  <c r="S169" i="4"/>
  <c r="R169" i="4"/>
  <c r="Q169" i="4"/>
  <c r="G169" i="4"/>
  <c r="S168" i="4"/>
  <c r="R168" i="4"/>
  <c r="Q168" i="4"/>
  <c r="G168" i="4"/>
  <c r="S167" i="4"/>
  <c r="R167" i="4"/>
  <c r="Q167" i="4"/>
  <c r="G167" i="4"/>
  <c r="S166" i="4"/>
  <c r="R166" i="4"/>
  <c r="Q166" i="4"/>
  <c r="G166" i="4"/>
  <c r="S165" i="4"/>
  <c r="R165" i="4"/>
  <c r="Q165" i="4"/>
  <c r="G165" i="4"/>
  <c r="S164" i="4"/>
  <c r="R164" i="4"/>
  <c r="Q164" i="4"/>
  <c r="G164" i="4"/>
  <c r="S163" i="4"/>
  <c r="R163" i="4"/>
  <c r="Q163" i="4"/>
  <c r="G163" i="4"/>
  <c r="S162" i="4"/>
  <c r="R162" i="4"/>
  <c r="Q162" i="4"/>
  <c r="I162" i="4"/>
  <c r="G162" i="4"/>
  <c r="S161" i="4"/>
  <c r="R161" i="4"/>
  <c r="Q161" i="4"/>
  <c r="I161" i="4"/>
  <c r="S160" i="4"/>
  <c r="R160" i="4"/>
  <c r="Q160" i="4"/>
  <c r="G160" i="4"/>
  <c r="S159" i="4"/>
  <c r="R159" i="4"/>
  <c r="Q159" i="4"/>
  <c r="G159" i="4"/>
  <c r="S158" i="4"/>
  <c r="R158" i="4"/>
  <c r="Q158" i="4"/>
  <c r="G158" i="4"/>
  <c r="S157" i="4"/>
  <c r="R157" i="4"/>
  <c r="Q157" i="4"/>
  <c r="G157" i="4"/>
  <c r="S156" i="4"/>
  <c r="R156" i="4"/>
  <c r="Q156" i="4"/>
  <c r="G156" i="4"/>
  <c r="S155" i="4"/>
  <c r="R155" i="4"/>
  <c r="Q155" i="4"/>
  <c r="G155" i="4"/>
  <c r="S154" i="4"/>
  <c r="R154" i="4"/>
  <c r="Q154" i="4"/>
  <c r="G154" i="4"/>
  <c r="S153" i="4"/>
  <c r="R153" i="4"/>
  <c r="Q153" i="4"/>
  <c r="G153" i="4"/>
  <c r="S152" i="4"/>
  <c r="R152" i="4"/>
  <c r="Q152" i="4"/>
  <c r="G152" i="4"/>
  <c r="S151" i="4"/>
  <c r="R151" i="4"/>
  <c r="Q151" i="4"/>
  <c r="G151" i="4"/>
  <c r="S150" i="4"/>
  <c r="R150" i="4"/>
  <c r="Q150" i="4"/>
  <c r="G150" i="4"/>
  <c r="S149" i="4"/>
  <c r="R149" i="4"/>
  <c r="Q149" i="4"/>
  <c r="G149" i="4"/>
  <c r="S148" i="4"/>
  <c r="R148" i="4"/>
  <c r="Q148" i="4"/>
  <c r="G148" i="4"/>
  <c r="S147" i="4"/>
  <c r="R147" i="4"/>
  <c r="Q147" i="4"/>
  <c r="G147" i="4"/>
  <c r="S146" i="4"/>
  <c r="R146" i="4"/>
  <c r="Q146" i="4"/>
  <c r="G146" i="4"/>
  <c r="S145" i="4"/>
  <c r="R145" i="4"/>
  <c r="Q145" i="4"/>
  <c r="G145" i="4"/>
  <c r="S144" i="4"/>
  <c r="R144" i="4"/>
  <c r="Q144" i="4"/>
  <c r="G144" i="4"/>
  <c r="S143" i="4"/>
  <c r="R143" i="4"/>
  <c r="Q143" i="4"/>
  <c r="G143" i="4"/>
  <c r="S142" i="4"/>
  <c r="R142" i="4"/>
  <c r="Q142" i="4"/>
  <c r="I142" i="4"/>
  <c r="G142" i="4"/>
  <c r="S141" i="4"/>
  <c r="R141" i="4"/>
  <c r="Q141" i="4"/>
  <c r="G141" i="4"/>
  <c r="S140" i="4"/>
  <c r="R140" i="4"/>
  <c r="Q140" i="4"/>
  <c r="G140" i="4"/>
  <c r="S139" i="4"/>
  <c r="R139" i="4"/>
  <c r="Q139" i="4"/>
  <c r="I139" i="4"/>
  <c r="G139" i="4"/>
  <c r="S138" i="4"/>
  <c r="R138" i="4"/>
  <c r="Q138" i="4"/>
  <c r="G138" i="4"/>
  <c r="S137" i="4"/>
  <c r="R137" i="4"/>
  <c r="Q137" i="4"/>
  <c r="G137" i="4"/>
  <c r="S136" i="4"/>
  <c r="R136" i="4"/>
  <c r="Q136" i="4"/>
  <c r="G136" i="4"/>
  <c r="S135" i="4"/>
  <c r="R135" i="4"/>
  <c r="Q135" i="4"/>
  <c r="G135" i="4"/>
  <c r="S134" i="4"/>
  <c r="R134" i="4"/>
  <c r="Q134" i="4"/>
  <c r="G134" i="4"/>
  <c r="S133" i="4"/>
  <c r="R133" i="4"/>
  <c r="Q133" i="4"/>
  <c r="I133" i="4"/>
  <c r="G133" i="4"/>
  <c r="S132" i="4"/>
  <c r="R132" i="4"/>
  <c r="Q132" i="4"/>
  <c r="G132" i="4"/>
  <c r="S131" i="4"/>
  <c r="R131" i="4"/>
  <c r="Q131" i="4"/>
  <c r="G131" i="4"/>
  <c r="S130" i="4"/>
  <c r="R130" i="4"/>
  <c r="Q130" i="4"/>
  <c r="G130" i="4"/>
  <c r="S129" i="4"/>
  <c r="R129" i="4"/>
  <c r="Q129" i="4"/>
  <c r="G129" i="4"/>
  <c r="S128" i="4"/>
  <c r="R128" i="4"/>
  <c r="Q128" i="4"/>
  <c r="I128" i="4"/>
  <c r="G128" i="4"/>
  <c r="S127" i="4"/>
  <c r="R127" i="4"/>
  <c r="Q127" i="4"/>
  <c r="G127" i="4"/>
  <c r="S126" i="4"/>
  <c r="R126" i="4"/>
  <c r="Q126" i="4"/>
  <c r="G126" i="4"/>
  <c r="S125" i="4"/>
  <c r="R125" i="4"/>
  <c r="Q125" i="4"/>
  <c r="G125" i="4"/>
  <c r="S124" i="4"/>
  <c r="R124" i="4"/>
  <c r="Q124" i="4"/>
  <c r="G124" i="4"/>
  <c r="S123" i="4"/>
  <c r="R123" i="4"/>
  <c r="Q123" i="4"/>
  <c r="G123" i="4"/>
  <c r="S122" i="4"/>
  <c r="R122" i="4"/>
  <c r="Q122" i="4"/>
  <c r="G122" i="4"/>
  <c r="S121" i="4"/>
  <c r="R121" i="4"/>
  <c r="Q121" i="4"/>
  <c r="G121" i="4"/>
  <c r="S120" i="4"/>
  <c r="R120" i="4"/>
  <c r="Q120" i="4"/>
  <c r="G120" i="4"/>
  <c r="S119" i="4"/>
  <c r="R119" i="4"/>
  <c r="Q119" i="4"/>
  <c r="G119" i="4"/>
  <c r="S118" i="4"/>
  <c r="R118" i="4"/>
  <c r="Q118" i="4"/>
  <c r="G118" i="4"/>
  <c r="S117" i="4"/>
  <c r="R117" i="4"/>
  <c r="Q117" i="4"/>
  <c r="G117" i="4"/>
  <c r="S116" i="4"/>
  <c r="R116" i="4"/>
  <c r="Q116" i="4"/>
  <c r="G116" i="4"/>
  <c r="S115" i="4"/>
  <c r="R115" i="4"/>
  <c r="Q115" i="4"/>
  <c r="G115" i="4"/>
  <c r="S114" i="4"/>
  <c r="R114" i="4"/>
  <c r="Q114" i="4"/>
  <c r="G114" i="4"/>
  <c r="S113" i="4"/>
  <c r="R113" i="4"/>
  <c r="Q113" i="4"/>
  <c r="G113" i="4"/>
  <c r="S112" i="4"/>
  <c r="R112" i="4"/>
  <c r="Q112" i="4"/>
  <c r="G112" i="4"/>
  <c r="S111" i="4"/>
  <c r="R111" i="4"/>
  <c r="Q111" i="4"/>
  <c r="G111" i="4"/>
  <c r="S110" i="4"/>
  <c r="R110" i="4"/>
  <c r="Q110" i="4"/>
  <c r="I110" i="4"/>
  <c r="G110" i="4"/>
  <c r="S109" i="4"/>
  <c r="R109" i="4"/>
  <c r="Q109" i="4"/>
  <c r="S108" i="4"/>
  <c r="R108" i="4"/>
  <c r="Q108" i="4"/>
  <c r="G108" i="4"/>
  <c r="S107" i="4"/>
  <c r="R107" i="4"/>
  <c r="Q107" i="4"/>
  <c r="G107" i="4"/>
  <c r="S106" i="4"/>
  <c r="R106" i="4"/>
  <c r="Q106" i="4"/>
  <c r="G106" i="4"/>
  <c r="S105" i="4"/>
  <c r="R105" i="4"/>
  <c r="Q105" i="4"/>
  <c r="S104" i="4"/>
  <c r="R104" i="4"/>
  <c r="Q104" i="4"/>
  <c r="G104" i="4"/>
  <c r="S103" i="4"/>
  <c r="R103" i="4"/>
  <c r="Q103" i="4"/>
  <c r="G103" i="4"/>
  <c r="S102" i="4"/>
  <c r="R102" i="4"/>
  <c r="Q102" i="4"/>
  <c r="G102" i="4"/>
  <c r="S101" i="4"/>
  <c r="R101" i="4"/>
  <c r="Q101" i="4"/>
  <c r="G101" i="4"/>
  <c r="S100" i="4"/>
  <c r="R100" i="4"/>
  <c r="Q100" i="4"/>
  <c r="G100" i="4"/>
  <c r="S99" i="4"/>
  <c r="R99" i="4"/>
  <c r="Q99" i="4"/>
  <c r="G99" i="4"/>
  <c r="S98" i="4"/>
  <c r="R98" i="4"/>
  <c r="Q98" i="4"/>
  <c r="G98" i="4"/>
  <c r="S97" i="4"/>
  <c r="R97" i="4"/>
  <c r="Q97" i="4"/>
  <c r="G97" i="4"/>
  <c r="S96" i="4"/>
  <c r="R96" i="4"/>
  <c r="Q96" i="4"/>
  <c r="G96" i="4"/>
  <c r="S95" i="4"/>
  <c r="R95" i="4"/>
  <c r="Q95" i="4"/>
  <c r="I95" i="4"/>
  <c r="G95" i="4"/>
  <c r="S94" i="4"/>
  <c r="R94" i="4"/>
  <c r="Q94" i="4"/>
  <c r="G94" i="4"/>
  <c r="S93" i="4"/>
  <c r="R93" i="4"/>
  <c r="Q93" i="4"/>
  <c r="I93" i="4"/>
  <c r="G93" i="4"/>
  <c r="S92" i="4"/>
  <c r="R92" i="4"/>
  <c r="Q92" i="4"/>
  <c r="G92" i="4"/>
  <c r="S91" i="4"/>
  <c r="R91" i="4"/>
  <c r="Q91" i="4"/>
  <c r="G91" i="4"/>
  <c r="S90" i="4"/>
  <c r="R90" i="4"/>
  <c r="Q90" i="4"/>
  <c r="G90" i="4"/>
  <c r="S89" i="4"/>
  <c r="R89" i="4"/>
  <c r="Q89" i="4"/>
  <c r="G89" i="4"/>
  <c r="S88" i="4"/>
  <c r="R88" i="4"/>
  <c r="Q88" i="4"/>
  <c r="G88" i="4"/>
  <c r="S87" i="4"/>
  <c r="R87" i="4"/>
  <c r="Q87" i="4"/>
  <c r="G87" i="4"/>
  <c r="S86" i="4"/>
  <c r="R86" i="4"/>
  <c r="Q86" i="4"/>
  <c r="G86" i="4"/>
  <c r="S85" i="4"/>
  <c r="R85" i="4"/>
  <c r="Q85" i="4"/>
  <c r="G85" i="4"/>
  <c r="S84" i="4"/>
  <c r="R84" i="4"/>
  <c r="Q84" i="4"/>
  <c r="G84" i="4"/>
  <c r="S83" i="4"/>
  <c r="R83" i="4"/>
  <c r="Q83" i="4"/>
  <c r="G83" i="4"/>
  <c r="S82" i="4"/>
  <c r="R82" i="4"/>
  <c r="Q82" i="4"/>
  <c r="G82" i="4"/>
  <c r="S81" i="4"/>
  <c r="R81" i="4"/>
  <c r="Q81" i="4"/>
  <c r="G81" i="4"/>
  <c r="S80" i="4"/>
  <c r="R80" i="4"/>
  <c r="Q80" i="4"/>
  <c r="G80" i="4"/>
  <c r="S79" i="4"/>
  <c r="R79" i="4"/>
  <c r="Q79" i="4"/>
  <c r="G79" i="4"/>
  <c r="S78" i="4"/>
  <c r="R78" i="4"/>
  <c r="Q78" i="4"/>
  <c r="G78" i="4"/>
  <c r="S77" i="4"/>
  <c r="R77" i="4"/>
  <c r="Q77" i="4"/>
  <c r="G77" i="4"/>
  <c r="S76" i="4"/>
  <c r="R76" i="4"/>
  <c r="Q76" i="4"/>
  <c r="S75" i="4"/>
  <c r="R75" i="4"/>
  <c r="Q75" i="4"/>
  <c r="G75" i="4"/>
  <c r="S74" i="4"/>
  <c r="R74" i="4"/>
  <c r="Q74" i="4"/>
  <c r="I74" i="4"/>
  <c r="G74" i="4"/>
  <c r="S73" i="4"/>
  <c r="R73" i="4"/>
  <c r="Q73" i="4"/>
  <c r="G73" i="4"/>
  <c r="S72" i="4"/>
  <c r="R72" i="4"/>
  <c r="Q72" i="4"/>
  <c r="G72" i="4"/>
  <c r="S71" i="4"/>
  <c r="R71" i="4"/>
  <c r="Q71" i="4"/>
  <c r="G71" i="4"/>
  <c r="S70" i="4"/>
  <c r="R70" i="4"/>
  <c r="Q70" i="4"/>
  <c r="G70" i="4"/>
  <c r="S69" i="4"/>
  <c r="R69" i="4"/>
  <c r="Q69" i="4"/>
  <c r="G69" i="4"/>
  <c r="S68" i="4"/>
  <c r="R68" i="4"/>
  <c r="Q68" i="4"/>
  <c r="S67" i="4"/>
  <c r="R67" i="4"/>
  <c r="Q67" i="4"/>
  <c r="S66" i="4"/>
  <c r="R66" i="4"/>
  <c r="Q66" i="4"/>
  <c r="G66" i="4"/>
  <c r="S65" i="4"/>
  <c r="R65" i="4"/>
  <c r="Q65" i="4"/>
  <c r="I65" i="4"/>
  <c r="G65" i="4"/>
  <c r="S64" i="4"/>
  <c r="R64" i="4"/>
  <c r="Q64" i="4"/>
  <c r="G64" i="4"/>
  <c r="S63" i="4"/>
  <c r="R63" i="4"/>
  <c r="Q63" i="4"/>
  <c r="G63" i="4"/>
  <c r="S62" i="4"/>
  <c r="R62" i="4"/>
  <c r="Q62" i="4"/>
  <c r="G62" i="4"/>
  <c r="S61" i="4"/>
  <c r="R61" i="4"/>
  <c r="Q61" i="4"/>
  <c r="G61" i="4"/>
  <c r="S60" i="4"/>
  <c r="R60" i="4"/>
  <c r="Q60" i="4"/>
  <c r="G60" i="4"/>
  <c r="S59" i="4"/>
  <c r="R59" i="4"/>
  <c r="Q59" i="4"/>
  <c r="G59" i="4"/>
  <c r="S58" i="4"/>
  <c r="R58" i="4"/>
  <c r="Q58" i="4"/>
  <c r="G58" i="4"/>
  <c r="S57" i="4"/>
  <c r="R57" i="4"/>
  <c r="Q57" i="4"/>
  <c r="G57" i="4"/>
  <c r="S56" i="4"/>
  <c r="R56" i="4"/>
  <c r="Q56" i="4"/>
  <c r="G56" i="4"/>
  <c r="S55" i="4"/>
  <c r="R55" i="4"/>
  <c r="Q55" i="4"/>
  <c r="G55" i="4"/>
  <c r="S54" i="4"/>
  <c r="R54" i="4"/>
  <c r="Q54" i="4"/>
  <c r="G54" i="4"/>
  <c r="S53" i="4"/>
  <c r="R53" i="4"/>
  <c r="Q53" i="4"/>
  <c r="G53" i="4"/>
  <c r="S52" i="4"/>
  <c r="R52" i="4"/>
  <c r="Q52" i="4"/>
  <c r="G52" i="4"/>
  <c r="S51" i="4"/>
  <c r="R51" i="4"/>
  <c r="Q51" i="4"/>
  <c r="G51" i="4"/>
  <c r="S50" i="4"/>
  <c r="R50" i="4"/>
  <c r="Q50" i="4"/>
  <c r="S49" i="4"/>
  <c r="R49" i="4"/>
  <c r="Q49" i="4"/>
  <c r="S48" i="4"/>
  <c r="R48" i="4"/>
  <c r="Q48" i="4"/>
  <c r="S47" i="4"/>
  <c r="R47" i="4"/>
  <c r="Q47" i="4"/>
  <c r="G47" i="4"/>
  <c r="S46" i="4"/>
  <c r="R46" i="4"/>
  <c r="Q46" i="4"/>
  <c r="G46" i="4"/>
  <c r="S45" i="4"/>
  <c r="R45" i="4"/>
  <c r="Q45" i="4"/>
  <c r="S44" i="4"/>
  <c r="R44" i="4"/>
  <c r="Q44" i="4"/>
  <c r="G44" i="4"/>
  <c r="S43" i="4"/>
  <c r="R43" i="4"/>
  <c r="Q43" i="4"/>
  <c r="G43" i="4"/>
  <c r="S42" i="4"/>
  <c r="R42" i="4"/>
  <c r="Q42" i="4"/>
  <c r="S41" i="4"/>
  <c r="R41" i="4"/>
  <c r="Q41" i="4"/>
  <c r="G41" i="4"/>
  <c r="S40" i="4"/>
  <c r="R40" i="4"/>
  <c r="Q40" i="4"/>
  <c r="G40" i="4"/>
  <c r="S39" i="4"/>
  <c r="R39" i="4"/>
  <c r="Q39" i="4"/>
  <c r="G39" i="4"/>
  <c r="S38" i="4"/>
  <c r="R38" i="4"/>
  <c r="Q38" i="4"/>
  <c r="G38" i="4"/>
  <c r="S37" i="4"/>
  <c r="R37" i="4"/>
  <c r="Q37" i="4"/>
  <c r="G37" i="4"/>
  <c r="S36" i="4"/>
  <c r="R36" i="4"/>
  <c r="Q36" i="4"/>
  <c r="G36" i="4"/>
  <c r="S35" i="4"/>
  <c r="R35" i="4"/>
  <c r="Q35" i="4"/>
  <c r="I35" i="4"/>
  <c r="G35" i="4"/>
  <c r="S34" i="4"/>
  <c r="R34" i="4"/>
  <c r="Q34" i="4"/>
  <c r="G34" i="4"/>
  <c r="S33" i="4"/>
  <c r="R33" i="4"/>
  <c r="Q33" i="4"/>
  <c r="G33" i="4"/>
  <c r="S32" i="4"/>
  <c r="R32" i="4"/>
  <c r="Q32" i="4"/>
  <c r="G32" i="4"/>
  <c r="S31" i="4"/>
  <c r="R31" i="4"/>
  <c r="Q31" i="4"/>
  <c r="G31" i="4"/>
  <c r="S30" i="4"/>
  <c r="R30" i="4"/>
  <c r="Q30" i="4"/>
  <c r="G30" i="4"/>
  <c r="S29" i="4"/>
  <c r="R29" i="4"/>
  <c r="Q29" i="4"/>
  <c r="G29" i="4"/>
  <c r="S28" i="4"/>
  <c r="R28" i="4"/>
  <c r="Q28" i="4"/>
  <c r="G28" i="4"/>
  <c r="S27" i="4"/>
  <c r="R27" i="4"/>
  <c r="Q27" i="4"/>
  <c r="G27" i="4"/>
  <c r="S26" i="4"/>
  <c r="R26" i="4"/>
  <c r="Q26" i="4"/>
  <c r="G26" i="4"/>
  <c r="S25" i="4"/>
  <c r="R25" i="4"/>
  <c r="Q25" i="4"/>
  <c r="G25" i="4"/>
  <c r="S24" i="4"/>
  <c r="R24" i="4"/>
  <c r="Q24" i="4"/>
  <c r="G24" i="4"/>
  <c r="S23" i="4"/>
  <c r="R23" i="4"/>
  <c r="Q23" i="4"/>
  <c r="G23" i="4"/>
  <c r="S22" i="4"/>
  <c r="R22" i="4"/>
  <c r="Q22" i="4"/>
  <c r="G22" i="4"/>
  <c r="S21" i="4"/>
  <c r="R21" i="4"/>
  <c r="Q21" i="4"/>
  <c r="G21" i="4"/>
  <c r="S20" i="4"/>
  <c r="R20" i="4"/>
  <c r="Q20" i="4"/>
  <c r="G20" i="4"/>
  <c r="S19" i="4"/>
  <c r="R19" i="4"/>
  <c r="Q19" i="4"/>
  <c r="I19" i="4"/>
  <c r="G19" i="4"/>
  <c r="S18" i="4"/>
  <c r="R18" i="4"/>
  <c r="Q18" i="4"/>
  <c r="G18" i="4"/>
  <c r="S17" i="4"/>
  <c r="R17" i="4"/>
  <c r="Q17" i="4"/>
  <c r="G17" i="4"/>
  <c r="S16" i="4"/>
  <c r="R16" i="4"/>
  <c r="Q16" i="4"/>
  <c r="G16" i="4"/>
  <c r="S15" i="4"/>
  <c r="R15" i="4"/>
  <c r="Q15" i="4"/>
  <c r="G15" i="4"/>
  <c r="S14" i="4"/>
  <c r="R14" i="4"/>
  <c r="Q14" i="4"/>
  <c r="I14" i="4"/>
  <c r="G14" i="4"/>
  <c r="S13" i="4"/>
  <c r="R13" i="4"/>
  <c r="Q13" i="4"/>
  <c r="I13" i="4"/>
  <c r="G13" i="4"/>
  <c r="S12" i="4"/>
  <c r="R12" i="4"/>
  <c r="Q12" i="4"/>
  <c r="G12" i="4"/>
  <c r="S11" i="4"/>
  <c r="R11" i="4"/>
  <c r="Q11" i="4"/>
  <c r="S10" i="4"/>
  <c r="R10" i="4"/>
  <c r="Q10" i="4"/>
  <c r="G10" i="4"/>
  <c r="S9" i="4"/>
  <c r="R9" i="4"/>
  <c r="Q9" i="4"/>
  <c r="I9" i="4"/>
  <c r="G9" i="4"/>
  <c r="S8" i="4"/>
  <c r="R8" i="4"/>
  <c r="Q8" i="4"/>
  <c r="I8" i="4"/>
  <c r="G8" i="4"/>
  <c r="Y690" i="6"/>
  <c r="X690" i="6"/>
  <c r="W690" i="6"/>
  <c r="V690" i="6"/>
  <c r="U690" i="6"/>
  <c r="S690" i="6"/>
  <c r="R690" i="6"/>
  <c r="Q690" i="6"/>
  <c r="P690" i="6"/>
  <c r="O690" i="6"/>
  <c r="N690" i="6"/>
  <c r="M690" i="6"/>
  <c r="L690" i="6"/>
  <c r="K690" i="6"/>
  <c r="J690" i="6"/>
  <c r="I690" i="6"/>
  <c r="H690" i="6"/>
  <c r="S689" i="6"/>
  <c r="R689" i="6"/>
  <c r="Q689" i="6"/>
  <c r="S688" i="6"/>
  <c r="R688" i="6"/>
  <c r="Q688" i="6"/>
  <c r="G688" i="6"/>
  <c r="S687" i="6"/>
  <c r="R687" i="6"/>
  <c r="Q687" i="6"/>
  <c r="G687" i="6"/>
  <c r="S686" i="6"/>
  <c r="R686" i="6"/>
  <c r="Q686" i="6"/>
  <c r="S685" i="6"/>
  <c r="R685" i="6"/>
  <c r="Q685" i="6"/>
  <c r="G685" i="6"/>
  <c r="S684" i="6"/>
  <c r="R684" i="6"/>
  <c r="Q684" i="6"/>
  <c r="G684" i="6"/>
  <c r="S683" i="6"/>
  <c r="R683" i="6"/>
  <c r="Q683" i="6"/>
  <c r="G683" i="6"/>
  <c r="S682" i="6"/>
  <c r="R682" i="6"/>
  <c r="Q682" i="6"/>
  <c r="G682" i="6"/>
  <c r="S681" i="6"/>
  <c r="R681" i="6"/>
  <c r="Q681" i="6"/>
  <c r="I681" i="6"/>
  <c r="G681" i="6"/>
  <c r="S680" i="6"/>
  <c r="R680" i="6"/>
  <c r="Q680" i="6"/>
  <c r="G680" i="6"/>
  <c r="S679" i="6"/>
  <c r="R679" i="6"/>
  <c r="Q679" i="6"/>
  <c r="I679" i="6"/>
  <c r="G679" i="6"/>
  <c r="S678" i="6"/>
  <c r="R678" i="6"/>
  <c r="Q678" i="6"/>
  <c r="I678" i="6"/>
  <c r="G678" i="6"/>
  <c r="S677" i="6"/>
  <c r="R677" i="6"/>
  <c r="Q677" i="6"/>
  <c r="I677" i="6"/>
  <c r="G677" i="6"/>
  <c r="S676" i="6"/>
  <c r="R676" i="6"/>
  <c r="Q676" i="6"/>
  <c r="G676" i="6"/>
  <c r="S675" i="6"/>
  <c r="R675" i="6"/>
  <c r="Q675" i="6"/>
  <c r="G675" i="6"/>
  <c r="S674" i="6"/>
  <c r="R674" i="6"/>
  <c r="Q674" i="6"/>
  <c r="I674" i="6"/>
  <c r="G674" i="6"/>
  <c r="S673" i="6"/>
  <c r="R673" i="6"/>
  <c r="Q673" i="6"/>
  <c r="G673" i="6"/>
  <c r="S672" i="6"/>
  <c r="R672" i="6"/>
  <c r="Q672" i="6"/>
  <c r="G672" i="6"/>
  <c r="S671" i="6"/>
  <c r="R671" i="6"/>
  <c r="Q671" i="6"/>
  <c r="G671" i="6"/>
  <c r="S670" i="6"/>
  <c r="R670" i="6"/>
  <c r="Q670" i="6"/>
  <c r="G670" i="6"/>
  <c r="S669" i="6"/>
  <c r="R669" i="6"/>
  <c r="Q669" i="6"/>
  <c r="S668" i="6"/>
  <c r="R668" i="6"/>
  <c r="Q668" i="6"/>
  <c r="G668" i="6"/>
  <c r="S667" i="6"/>
  <c r="R667" i="6"/>
  <c r="Q667" i="6"/>
  <c r="G667" i="6"/>
  <c r="S666" i="6"/>
  <c r="R666" i="6"/>
  <c r="Q666" i="6"/>
  <c r="G666" i="6"/>
  <c r="S665" i="6"/>
  <c r="R665" i="6"/>
  <c r="Q665" i="6"/>
  <c r="G665" i="6"/>
  <c r="S664" i="6"/>
  <c r="R664" i="6"/>
  <c r="Q664" i="6"/>
  <c r="G664" i="6"/>
  <c r="S663" i="6"/>
  <c r="R663" i="6"/>
  <c r="Q663" i="6"/>
  <c r="G663" i="6"/>
  <c r="S662" i="6"/>
  <c r="R662" i="6"/>
  <c r="Q662" i="6"/>
  <c r="G662" i="6"/>
  <c r="S661" i="6"/>
  <c r="R661" i="6"/>
  <c r="Q661" i="6"/>
  <c r="I661" i="6"/>
  <c r="G661" i="6"/>
  <c r="S660" i="6"/>
  <c r="R660" i="6"/>
  <c r="Q660" i="6"/>
  <c r="G660" i="6"/>
  <c r="S659" i="6"/>
  <c r="R659" i="6"/>
  <c r="Q659" i="6"/>
  <c r="G659" i="6"/>
  <c r="S658" i="6"/>
  <c r="R658" i="6"/>
  <c r="Q658" i="6"/>
  <c r="G658" i="6"/>
  <c r="S657" i="6"/>
  <c r="R657" i="6"/>
  <c r="Q657" i="6"/>
  <c r="G657" i="6"/>
  <c r="S656" i="6"/>
  <c r="R656" i="6"/>
  <c r="Q656" i="6"/>
  <c r="G656" i="6"/>
  <c r="S655" i="6"/>
  <c r="R655" i="6"/>
  <c r="Q655" i="6"/>
  <c r="G655" i="6"/>
  <c r="S654" i="6"/>
  <c r="R654" i="6"/>
  <c r="Q654" i="6"/>
  <c r="G654" i="6"/>
  <c r="S653" i="6"/>
  <c r="R653" i="6"/>
  <c r="Q653" i="6"/>
  <c r="G653" i="6"/>
  <c r="S652" i="6"/>
  <c r="R652" i="6"/>
  <c r="Q652" i="6"/>
  <c r="G652" i="6"/>
  <c r="S651" i="6"/>
  <c r="R651" i="6"/>
  <c r="Q651" i="6"/>
  <c r="G651" i="6"/>
  <c r="S650" i="6"/>
  <c r="R650" i="6"/>
  <c r="Q650" i="6"/>
  <c r="G650" i="6"/>
  <c r="S649" i="6"/>
  <c r="R649" i="6"/>
  <c r="Q649" i="6"/>
  <c r="G649" i="6"/>
  <c r="S648" i="6"/>
  <c r="R648" i="6"/>
  <c r="Q648" i="6"/>
  <c r="G648" i="6"/>
  <c r="S647" i="6"/>
  <c r="R647" i="6"/>
  <c r="Q647" i="6"/>
  <c r="G647" i="6"/>
  <c r="S646" i="6"/>
  <c r="R646" i="6"/>
  <c r="Q646" i="6"/>
  <c r="G646" i="6"/>
  <c r="S645" i="6"/>
  <c r="R645" i="6"/>
  <c r="Q645" i="6"/>
  <c r="I645" i="6"/>
  <c r="G645" i="6"/>
  <c r="S644" i="6"/>
  <c r="R644" i="6"/>
  <c r="Q644" i="6"/>
  <c r="G644" i="6"/>
  <c r="S643" i="6"/>
  <c r="R643" i="6"/>
  <c r="Q643" i="6"/>
  <c r="G643" i="6"/>
  <c r="S642" i="6"/>
  <c r="R642" i="6"/>
  <c r="Q642" i="6"/>
  <c r="G642" i="6"/>
  <c r="S641" i="6"/>
  <c r="R641" i="6"/>
  <c r="Q641" i="6"/>
  <c r="G641" i="6"/>
  <c r="S640" i="6"/>
  <c r="R640" i="6"/>
  <c r="Q640" i="6"/>
  <c r="I640" i="6"/>
  <c r="S639" i="6"/>
  <c r="R639" i="6"/>
  <c r="Q639" i="6"/>
  <c r="G639" i="6"/>
  <c r="S638" i="6"/>
  <c r="R638" i="6"/>
  <c r="Q638" i="6"/>
  <c r="G638" i="6"/>
  <c r="S637" i="6"/>
  <c r="R637" i="6"/>
  <c r="Q637" i="6"/>
  <c r="G637" i="6"/>
  <c r="S636" i="6"/>
  <c r="R636" i="6"/>
  <c r="Q636" i="6"/>
  <c r="G636" i="6"/>
  <c r="S635" i="6"/>
  <c r="R635" i="6"/>
  <c r="Q635" i="6"/>
  <c r="G635" i="6"/>
  <c r="S634" i="6"/>
  <c r="R634" i="6"/>
  <c r="Q634" i="6"/>
  <c r="G634" i="6"/>
  <c r="S633" i="6"/>
  <c r="R633" i="6"/>
  <c r="Q633" i="6"/>
  <c r="G633" i="6"/>
  <c r="S632" i="6"/>
  <c r="R632" i="6"/>
  <c r="Q632" i="6"/>
  <c r="G632" i="6"/>
  <c r="S631" i="6"/>
  <c r="R631" i="6"/>
  <c r="Q631" i="6"/>
  <c r="G631" i="6"/>
  <c r="S630" i="6"/>
  <c r="R630" i="6"/>
  <c r="Q630" i="6"/>
  <c r="G630" i="6"/>
  <c r="S629" i="6"/>
  <c r="R629" i="6"/>
  <c r="Q629" i="6"/>
  <c r="G629" i="6"/>
  <c r="S628" i="6"/>
  <c r="R628" i="6"/>
  <c r="Q628" i="6"/>
  <c r="G628" i="6"/>
  <c r="S627" i="6"/>
  <c r="R627" i="6"/>
  <c r="Q627" i="6"/>
  <c r="G627" i="6"/>
  <c r="S626" i="6"/>
  <c r="R626" i="6"/>
  <c r="Q626" i="6"/>
  <c r="G626" i="6"/>
  <c r="S625" i="6"/>
  <c r="R625" i="6"/>
  <c r="Q625" i="6"/>
  <c r="G625" i="6"/>
  <c r="S624" i="6"/>
  <c r="R624" i="6"/>
  <c r="Q624" i="6"/>
  <c r="S623" i="6"/>
  <c r="R623" i="6"/>
  <c r="Q623" i="6"/>
  <c r="S622" i="6"/>
  <c r="R622" i="6"/>
  <c r="Q622" i="6"/>
  <c r="S621" i="6"/>
  <c r="R621" i="6"/>
  <c r="Q621" i="6"/>
  <c r="S620" i="6"/>
  <c r="R620" i="6"/>
  <c r="Q620" i="6"/>
  <c r="G620" i="6"/>
  <c r="S619" i="6"/>
  <c r="R619" i="6"/>
  <c r="Q619" i="6"/>
  <c r="G619" i="6"/>
  <c r="S618" i="6"/>
  <c r="R618" i="6"/>
  <c r="Q618" i="6"/>
  <c r="G618" i="6"/>
  <c r="S617" i="6"/>
  <c r="R617" i="6"/>
  <c r="Q617" i="6"/>
  <c r="G617" i="6"/>
  <c r="S616" i="6"/>
  <c r="R616" i="6"/>
  <c r="Q616" i="6"/>
  <c r="G616" i="6"/>
  <c r="S615" i="6"/>
  <c r="R615" i="6"/>
  <c r="Q615" i="6"/>
  <c r="G615" i="6"/>
  <c r="S614" i="6"/>
  <c r="R614" i="6"/>
  <c r="Q614" i="6"/>
  <c r="G614" i="6"/>
  <c r="S613" i="6"/>
  <c r="R613" i="6"/>
  <c r="Q613" i="6"/>
  <c r="G613" i="6"/>
  <c r="S612" i="6"/>
  <c r="R612" i="6"/>
  <c r="Q612" i="6"/>
  <c r="G612" i="6"/>
  <c r="S611" i="6"/>
  <c r="R611" i="6"/>
  <c r="Q611" i="6"/>
  <c r="S610" i="6"/>
  <c r="R610" i="6"/>
  <c r="Q610" i="6"/>
  <c r="G610" i="6"/>
  <c r="S609" i="6"/>
  <c r="R609" i="6"/>
  <c r="Q609" i="6"/>
  <c r="G609" i="6"/>
  <c r="S608" i="6"/>
  <c r="R608" i="6"/>
  <c r="Q608" i="6"/>
  <c r="S607" i="6"/>
  <c r="R607" i="6"/>
  <c r="Q607" i="6"/>
  <c r="S606" i="6"/>
  <c r="R606" i="6"/>
  <c r="Q606" i="6"/>
  <c r="S605" i="6"/>
  <c r="R605" i="6"/>
  <c r="Q605" i="6"/>
  <c r="S604" i="6"/>
  <c r="R604" i="6"/>
  <c r="Q604" i="6"/>
  <c r="I604" i="6"/>
  <c r="G604" i="6"/>
  <c r="S603" i="6"/>
  <c r="R603" i="6"/>
  <c r="Q603" i="6"/>
  <c r="G603" i="6"/>
  <c r="S602" i="6"/>
  <c r="R602" i="6"/>
  <c r="Q602" i="6"/>
  <c r="G602" i="6"/>
  <c r="S601" i="6"/>
  <c r="R601" i="6"/>
  <c r="Q601" i="6"/>
  <c r="I601" i="6"/>
  <c r="G601" i="6"/>
  <c r="S600" i="6"/>
  <c r="R600" i="6"/>
  <c r="Q600" i="6"/>
  <c r="G600" i="6"/>
  <c r="S599" i="6"/>
  <c r="R599" i="6"/>
  <c r="Q599" i="6"/>
  <c r="G599" i="6"/>
  <c r="S598" i="6"/>
  <c r="R598" i="6"/>
  <c r="Q598" i="6"/>
  <c r="S597" i="6"/>
  <c r="R597" i="6"/>
  <c r="Q597" i="6"/>
  <c r="S596" i="6"/>
  <c r="R596" i="6"/>
  <c r="Q596" i="6"/>
  <c r="G596" i="6"/>
  <c r="S595" i="6"/>
  <c r="R595" i="6"/>
  <c r="Q595" i="6"/>
  <c r="G595" i="6"/>
  <c r="S594" i="6"/>
  <c r="R594" i="6"/>
  <c r="Q594" i="6"/>
  <c r="G594" i="6"/>
  <c r="S593" i="6"/>
  <c r="R593" i="6"/>
  <c r="Q593" i="6"/>
  <c r="G593" i="6"/>
  <c r="S592" i="6"/>
  <c r="R592" i="6"/>
  <c r="Q592" i="6"/>
  <c r="G592" i="6"/>
  <c r="S591" i="6"/>
  <c r="R591" i="6"/>
  <c r="Q591" i="6"/>
  <c r="G591" i="6"/>
  <c r="S590" i="6"/>
  <c r="R590" i="6"/>
  <c r="Q590" i="6"/>
  <c r="G590" i="6"/>
  <c r="S589" i="6"/>
  <c r="R589" i="6"/>
  <c r="Q589" i="6"/>
  <c r="S588" i="6"/>
  <c r="R588" i="6"/>
  <c r="Q588" i="6"/>
  <c r="G588" i="6"/>
  <c r="S587" i="6"/>
  <c r="R587" i="6"/>
  <c r="Q587" i="6"/>
  <c r="G587" i="6"/>
  <c r="S586" i="6"/>
  <c r="R586" i="6"/>
  <c r="Q586" i="6"/>
  <c r="S585" i="6"/>
  <c r="R585" i="6"/>
  <c r="Q585" i="6"/>
  <c r="G585" i="6"/>
  <c r="S584" i="6"/>
  <c r="R584" i="6"/>
  <c r="Q584" i="6"/>
  <c r="G584" i="6"/>
  <c r="S583" i="6"/>
  <c r="R583" i="6"/>
  <c r="Q583" i="6"/>
  <c r="G583" i="6"/>
  <c r="S582" i="6"/>
  <c r="R582" i="6"/>
  <c r="Q582" i="6"/>
  <c r="S581" i="6"/>
  <c r="R581" i="6"/>
  <c r="Q581" i="6"/>
  <c r="I581" i="6"/>
  <c r="G581" i="6"/>
  <c r="S580" i="6"/>
  <c r="R580" i="6"/>
  <c r="Q580" i="6"/>
  <c r="S579" i="6"/>
  <c r="R579" i="6"/>
  <c r="Q579" i="6"/>
  <c r="G579" i="6"/>
  <c r="S578" i="6"/>
  <c r="R578" i="6"/>
  <c r="Q578" i="6"/>
  <c r="G578" i="6"/>
  <c r="S577" i="6"/>
  <c r="R577" i="6"/>
  <c r="Q577" i="6"/>
  <c r="G577" i="6"/>
  <c r="S576" i="6"/>
  <c r="R576" i="6"/>
  <c r="Q576" i="6"/>
  <c r="G576" i="6"/>
  <c r="S575" i="6"/>
  <c r="R575" i="6"/>
  <c r="Q575" i="6"/>
  <c r="G575" i="6"/>
  <c r="S574" i="6"/>
  <c r="R574" i="6"/>
  <c r="Q574" i="6"/>
  <c r="G574" i="6"/>
  <c r="S573" i="6"/>
  <c r="R573" i="6"/>
  <c r="Q573" i="6"/>
  <c r="G573" i="6"/>
  <c r="S572" i="6"/>
  <c r="R572" i="6"/>
  <c r="Q572" i="6"/>
  <c r="S571" i="6"/>
  <c r="R571" i="6"/>
  <c r="Q571" i="6"/>
  <c r="G571" i="6"/>
  <c r="S570" i="6"/>
  <c r="R570" i="6"/>
  <c r="Q570" i="6"/>
  <c r="G570" i="6"/>
  <c r="S569" i="6"/>
  <c r="R569" i="6"/>
  <c r="Q569" i="6"/>
  <c r="S568" i="6"/>
  <c r="R568" i="6"/>
  <c r="Q568" i="6"/>
  <c r="S567" i="6"/>
  <c r="R567" i="6"/>
  <c r="Q567" i="6"/>
  <c r="G567" i="6"/>
  <c r="S566" i="6"/>
  <c r="R566" i="6"/>
  <c r="Q566" i="6"/>
  <c r="G566" i="6"/>
  <c r="S565" i="6"/>
  <c r="R565" i="6"/>
  <c r="Q565" i="6"/>
  <c r="G565" i="6"/>
  <c r="S564" i="6"/>
  <c r="R564" i="6"/>
  <c r="Q564" i="6"/>
  <c r="G564" i="6"/>
  <c r="S563" i="6"/>
  <c r="R563" i="6"/>
  <c r="Q563" i="6"/>
  <c r="S562" i="6"/>
  <c r="R562" i="6"/>
  <c r="Q562" i="6"/>
  <c r="G562" i="6"/>
  <c r="S561" i="6"/>
  <c r="R561" i="6"/>
  <c r="Q561" i="6"/>
  <c r="S560" i="6"/>
  <c r="R560" i="6"/>
  <c r="Q560" i="6"/>
  <c r="S559" i="6"/>
  <c r="R559" i="6"/>
  <c r="Q559" i="6"/>
  <c r="G559" i="6"/>
  <c r="S558" i="6"/>
  <c r="R558" i="6"/>
  <c r="Q558" i="6"/>
  <c r="G558" i="6"/>
  <c r="S557" i="6"/>
  <c r="R557" i="6"/>
  <c r="Q557" i="6"/>
  <c r="G557" i="6"/>
  <c r="S556" i="6"/>
  <c r="R556" i="6"/>
  <c r="Q556" i="6"/>
  <c r="S555" i="6"/>
  <c r="R555" i="6"/>
  <c r="Q555" i="6"/>
  <c r="S554" i="6"/>
  <c r="R554" i="6"/>
  <c r="Q554" i="6"/>
  <c r="S553" i="6"/>
  <c r="R553" i="6"/>
  <c r="Q553" i="6"/>
  <c r="S552" i="6"/>
  <c r="R552" i="6"/>
  <c r="Q552" i="6"/>
  <c r="S551" i="6"/>
  <c r="R551" i="6"/>
  <c r="Q551" i="6"/>
  <c r="S550" i="6"/>
  <c r="R550" i="6"/>
  <c r="Q550" i="6"/>
  <c r="G550" i="6"/>
  <c r="S549" i="6"/>
  <c r="R549" i="6"/>
  <c r="Q549" i="6"/>
  <c r="S548" i="6"/>
  <c r="R548" i="6"/>
  <c r="Q548" i="6"/>
  <c r="G548" i="6"/>
  <c r="S547" i="6"/>
  <c r="R547" i="6"/>
  <c r="Q547" i="6"/>
  <c r="I547" i="6"/>
  <c r="G547" i="6"/>
  <c r="S546" i="6"/>
  <c r="R546" i="6"/>
  <c r="Q546" i="6"/>
  <c r="G546" i="6"/>
  <c r="S545" i="6"/>
  <c r="R545" i="6"/>
  <c r="Q545" i="6"/>
  <c r="S544" i="6"/>
  <c r="R544" i="6"/>
  <c r="Q544" i="6"/>
  <c r="S543" i="6"/>
  <c r="R543" i="6"/>
  <c r="Q543" i="6"/>
  <c r="G543" i="6"/>
  <c r="S542" i="6"/>
  <c r="R542" i="6"/>
  <c r="Q542" i="6"/>
  <c r="S541" i="6"/>
  <c r="R541" i="6"/>
  <c r="Q541" i="6"/>
  <c r="G541" i="6"/>
  <c r="S540" i="6"/>
  <c r="R540" i="6"/>
  <c r="Q540" i="6"/>
  <c r="I540" i="6"/>
  <c r="G540" i="6"/>
  <c r="S539" i="6"/>
  <c r="R539" i="6"/>
  <c r="Q539" i="6"/>
  <c r="I539" i="6"/>
  <c r="G539" i="6"/>
  <c r="S538" i="6"/>
  <c r="R538" i="6"/>
  <c r="Q538" i="6"/>
  <c r="S537" i="6"/>
  <c r="R537" i="6"/>
  <c r="Q537" i="6"/>
  <c r="S536" i="6"/>
  <c r="R536" i="6"/>
  <c r="Q536" i="6"/>
  <c r="S535" i="6"/>
  <c r="R535" i="6"/>
  <c r="Q535" i="6"/>
  <c r="G535" i="6"/>
  <c r="S534" i="6"/>
  <c r="R534" i="6"/>
  <c r="Q534" i="6"/>
  <c r="G534" i="6"/>
  <c r="S533" i="6"/>
  <c r="R533" i="6"/>
  <c r="Q533" i="6"/>
  <c r="S532" i="6"/>
  <c r="R532" i="6"/>
  <c r="Q532" i="6"/>
  <c r="S531" i="6"/>
  <c r="R531" i="6"/>
  <c r="Q531" i="6"/>
  <c r="S530" i="6"/>
  <c r="R530" i="6"/>
  <c r="Q530" i="6"/>
  <c r="I530" i="6"/>
  <c r="G530" i="6"/>
  <c r="S529" i="6"/>
  <c r="R529" i="6"/>
  <c r="Q529" i="6"/>
  <c r="G529" i="6"/>
  <c r="S528" i="6"/>
  <c r="R528" i="6"/>
  <c r="Q528" i="6"/>
  <c r="S527" i="6"/>
  <c r="R527" i="6"/>
  <c r="Q527" i="6"/>
  <c r="G527" i="6"/>
  <c r="S526" i="6"/>
  <c r="R526" i="6"/>
  <c r="Q526" i="6"/>
  <c r="G526" i="6"/>
  <c r="S525" i="6"/>
  <c r="R525" i="6"/>
  <c r="Q525" i="6"/>
  <c r="S524" i="6"/>
  <c r="R524" i="6"/>
  <c r="Q524" i="6"/>
  <c r="S523" i="6"/>
  <c r="R523" i="6"/>
  <c r="Q523" i="6"/>
  <c r="G523" i="6"/>
  <c r="S522" i="6"/>
  <c r="R522" i="6"/>
  <c r="Q522" i="6"/>
  <c r="G522" i="6"/>
  <c r="S521" i="6"/>
  <c r="R521" i="6"/>
  <c r="Q521" i="6"/>
  <c r="S520" i="6"/>
  <c r="R520" i="6"/>
  <c r="Q520" i="6"/>
  <c r="G520" i="6"/>
  <c r="S519" i="6"/>
  <c r="R519" i="6"/>
  <c r="Q519" i="6"/>
  <c r="G519" i="6"/>
  <c r="S518" i="6"/>
  <c r="R518" i="6"/>
  <c r="Q518" i="6"/>
  <c r="G518" i="6"/>
  <c r="S517" i="6"/>
  <c r="R517" i="6"/>
  <c r="Q517" i="6"/>
  <c r="G517" i="6"/>
  <c r="S516" i="6"/>
  <c r="R516" i="6"/>
  <c r="Q516" i="6"/>
  <c r="G516" i="6"/>
  <c r="S515" i="6"/>
  <c r="R515" i="6"/>
  <c r="Q515" i="6"/>
  <c r="G515" i="6"/>
  <c r="S514" i="6"/>
  <c r="R514" i="6"/>
  <c r="Q514" i="6"/>
  <c r="G514" i="6"/>
  <c r="S513" i="6"/>
  <c r="R513" i="6"/>
  <c r="Q513" i="6"/>
  <c r="G513" i="6"/>
  <c r="S512" i="6"/>
  <c r="R512" i="6"/>
  <c r="Q512" i="6"/>
  <c r="G512" i="6"/>
  <c r="S511" i="6"/>
  <c r="R511" i="6"/>
  <c r="Q511" i="6"/>
  <c r="S510" i="6"/>
  <c r="R510" i="6"/>
  <c r="Q510" i="6"/>
  <c r="S509" i="6"/>
  <c r="R509" i="6"/>
  <c r="Q509" i="6"/>
  <c r="S508" i="6"/>
  <c r="R508" i="6"/>
  <c r="Q508" i="6"/>
  <c r="S507" i="6"/>
  <c r="R507" i="6"/>
  <c r="Q507" i="6"/>
  <c r="S506" i="6"/>
  <c r="R506" i="6"/>
  <c r="Q506" i="6"/>
  <c r="G506" i="6"/>
  <c r="S505" i="6"/>
  <c r="R505" i="6"/>
  <c r="Q505" i="6"/>
  <c r="G505" i="6"/>
  <c r="S504" i="6"/>
  <c r="R504" i="6"/>
  <c r="Q504" i="6"/>
  <c r="S503" i="6"/>
  <c r="R503" i="6"/>
  <c r="Q503" i="6"/>
  <c r="G503" i="6"/>
  <c r="S502" i="6"/>
  <c r="R502" i="6"/>
  <c r="Q502" i="6"/>
  <c r="G502" i="6"/>
  <c r="S501" i="6"/>
  <c r="R501" i="6"/>
  <c r="Q501" i="6"/>
  <c r="G501" i="6"/>
  <c r="S500" i="6"/>
  <c r="R500" i="6"/>
  <c r="Q500" i="6"/>
  <c r="G500" i="6"/>
  <c r="S499" i="6"/>
  <c r="R499" i="6"/>
  <c r="Q499" i="6"/>
  <c r="G499" i="6"/>
  <c r="S498" i="6"/>
  <c r="R498" i="6"/>
  <c r="Q498" i="6"/>
  <c r="G498" i="6"/>
  <c r="S497" i="6"/>
  <c r="R497" i="6"/>
  <c r="Q497" i="6"/>
  <c r="G497" i="6"/>
  <c r="S496" i="6"/>
  <c r="R496" i="6"/>
  <c r="Q496" i="6"/>
  <c r="G496" i="6"/>
  <c r="S495" i="6"/>
  <c r="R495" i="6"/>
  <c r="Q495" i="6"/>
  <c r="G495" i="6"/>
  <c r="S494" i="6"/>
  <c r="R494" i="6"/>
  <c r="Q494" i="6"/>
  <c r="G494" i="6"/>
  <c r="S493" i="6"/>
  <c r="R493" i="6"/>
  <c r="Q493" i="6"/>
  <c r="I493" i="6"/>
  <c r="G493" i="6"/>
  <c r="S492" i="6"/>
  <c r="R492" i="6"/>
  <c r="Q492" i="6"/>
  <c r="G492" i="6"/>
  <c r="S491" i="6"/>
  <c r="R491" i="6"/>
  <c r="Q491" i="6"/>
  <c r="G491" i="6"/>
  <c r="S490" i="6"/>
  <c r="R490" i="6"/>
  <c r="Q490" i="6"/>
  <c r="G490" i="6"/>
  <c r="S489" i="6"/>
  <c r="R489" i="6"/>
  <c r="Q489" i="6"/>
  <c r="G489" i="6"/>
  <c r="S488" i="6"/>
  <c r="R488" i="6"/>
  <c r="Q488" i="6"/>
  <c r="G488" i="6"/>
  <c r="S487" i="6"/>
  <c r="R487" i="6"/>
  <c r="Q487" i="6"/>
  <c r="G487" i="6"/>
  <c r="S486" i="6"/>
  <c r="R486" i="6"/>
  <c r="Q486" i="6"/>
  <c r="G486" i="6"/>
  <c r="S485" i="6"/>
  <c r="R485" i="6"/>
  <c r="Q485" i="6"/>
  <c r="G485" i="6"/>
  <c r="S484" i="6"/>
  <c r="R484" i="6"/>
  <c r="Q484" i="6"/>
  <c r="S483" i="6"/>
  <c r="R483" i="6"/>
  <c r="Q483" i="6"/>
  <c r="S482" i="6"/>
  <c r="R482" i="6"/>
  <c r="Q482" i="6"/>
  <c r="G482" i="6"/>
  <c r="S481" i="6"/>
  <c r="R481" i="6"/>
  <c r="Q481" i="6"/>
  <c r="G481" i="6"/>
  <c r="S480" i="6"/>
  <c r="R480" i="6"/>
  <c r="Q480" i="6"/>
  <c r="I480" i="6"/>
  <c r="G480" i="6"/>
  <c r="S479" i="6"/>
  <c r="R479" i="6"/>
  <c r="Q479" i="6"/>
  <c r="G479" i="6"/>
  <c r="S478" i="6"/>
  <c r="R478" i="6"/>
  <c r="Q478" i="6"/>
  <c r="G478" i="6"/>
  <c r="S477" i="6"/>
  <c r="R477" i="6"/>
  <c r="Q477" i="6"/>
  <c r="I477" i="6"/>
  <c r="G477" i="6"/>
  <c r="S476" i="6"/>
  <c r="R476" i="6"/>
  <c r="Q476" i="6"/>
  <c r="I476" i="6"/>
  <c r="G476" i="6"/>
  <c r="S475" i="6"/>
  <c r="R475" i="6"/>
  <c r="Q475" i="6"/>
  <c r="G475" i="6"/>
  <c r="S474" i="6"/>
  <c r="R474" i="6"/>
  <c r="Q474" i="6"/>
  <c r="G474" i="6"/>
  <c r="S473" i="6"/>
  <c r="R473" i="6"/>
  <c r="Q473" i="6"/>
  <c r="G473" i="6"/>
  <c r="S472" i="6"/>
  <c r="R472" i="6"/>
  <c r="Q472" i="6"/>
  <c r="G472" i="6"/>
  <c r="S471" i="6"/>
  <c r="R471" i="6"/>
  <c r="Q471" i="6"/>
  <c r="G471" i="6"/>
  <c r="S470" i="6"/>
  <c r="R470" i="6"/>
  <c r="Q470" i="6"/>
  <c r="G470" i="6"/>
  <c r="S469" i="6"/>
  <c r="R469" i="6"/>
  <c r="Q469" i="6"/>
  <c r="G469" i="6"/>
  <c r="S468" i="6"/>
  <c r="R468" i="6"/>
  <c r="Q468" i="6"/>
  <c r="G468" i="6"/>
  <c r="S467" i="6"/>
  <c r="R467" i="6"/>
  <c r="Q467" i="6"/>
  <c r="S466" i="6"/>
  <c r="R466" i="6"/>
  <c r="Q466" i="6"/>
  <c r="G466" i="6"/>
  <c r="S465" i="6"/>
  <c r="R465" i="6"/>
  <c r="Q465" i="6"/>
  <c r="G465" i="6"/>
  <c r="S464" i="6"/>
  <c r="R464" i="6"/>
  <c r="Q464" i="6"/>
  <c r="G464" i="6"/>
  <c r="S463" i="6"/>
  <c r="R463" i="6"/>
  <c r="Q463" i="6"/>
  <c r="G463" i="6"/>
  <c r="S462" i="6"/>
  <c r="R462" i="6"/>
  <c r="Q462" i="6"/>
  <c r="I462" i="6"/>
  <c r="G462" i="6"/>
  <c r="S461" i="6"/>
  <c r="R461" i="6"/>
  <c r="Q461" i="6"/>
  <c r="G461" i="6"/>
  <c r="S460" i="6"/>
  <c r="R460" i="6"/>
  <c r="Q460" i="6"/>
  <c r="G460" i="6"/>
  <c r="S459" i="6"/>
  <c r="R459" i="6"/>
  <c r="Q459" i="6"/>
  <c r="G459" i="6"/>
  <c r="S458" i="6"/>
  <c r="R458" i="6"/>
  <c r="Q458" i="6"/>
  <c r="I458" i="6"/>
  <c r="G458" i="6"/>
  <c r="S457" i="6"/>
  <c r="R457" i="6"/>
  <c r="Q457" i="6"/>
  <c r="G457" i="6"/>
  <c r="S456" i="6"/>
  <c r="R456" i="6"/>
  <c r="Q456" i="6"/>
  <c r="G456" i="6"/>
  <c r="S455" i="6"/>
  <c r="R455" i="6"/>
  <c r="Q455" i="6"/>
  <c r="S454" i="6"/>
  <c r="R454" i="6"/>
  <c r="Q454" i="6"/>
  <c r="G454" i="6"/>
  <c r="S453" i="6"/>
  <c r="R453" i="6"/>
  <c r="Q453" i="6"/>
  <c r="G453" i="6"/>
  <c r="S452" i="6"/>
  <c r="R452" i="6"/>
  <c r="Q452" i="6"/>
  <c r="G452" i="6"/>
  <c r="S451" i="6"/>
  <c r="R451" i="6"/>
  <c r="Q451" i="6"/>
  <c r="G451" i="6"/>
  <c r="S450" i="6"/>
  <c r="R450" i="6"/>
  <c r="Q450" i="6"/>
  <c r="G450" i="6"/>
  <c r="S449" i="6"/>
  <c r="R449" i="6"/>
  <c r="Q449" i="6"/>
  <c r="G449" i="6"/>
  <c r="S448" i="6"/>
  <c r="R448" i="6"/>
  <c r="Q448" i="6"/>
  <c r="G448" i="6"/>
  <c r="S447" i="6"/>
  <c r="R447" i="6"/>
  <c r="Q447" i="6"/>
  <c r="G447" i="6"/>
  <c r="S446" i="6"/>
  <c r="R446" i="6"/>
  <c r="Q446" i="6"/>
  <c r="G446" i="6"/>
  <c r="S445" i="6"/>
  <c r="R445" i="6"/>
  <c r="Q445" i="6"/>
  <c r="G445" i="6"/>
  <c r="S444" i="6"/>
  <c r="R444" i="6"/>
  <c r="Q444" i="6"/>
  <c r="G444" i="6"/>
  <c r="S443" i="6"/>
  <c r="R443" i="6"/>
  <c r="Q443" i="6"/>
  <c r="G443" i="6"/>
  <c r="S442" i="6"/>
  <c r="R442" i="6"/>
  <c r="Q442" i="6"/>
  <c r="G442" i="6"/>
  <c r="S441" i="6"/>
  <c r="R441" i="6"/>
  <c r="Q441" i="6"/>
  <c r="G441" i="6"/>
  <c r="S440" i="6"/>
  <c r="R440" i="6"/>
  <c r="Q440" i="6"/>
  <c r="G440" i="6"/>
  <c r="S439" i="6"/>
  <c r="R439" i="6"/>
  <c r="Q439" i="6"/>
  <c r="G439" i="6"/>
  <c r="S438" i="6"/>
  <c r="R438" i="6"/>
  <c r="Q438" i="6"/>
  <c r="G438" i="6"/>
  <c r="S437" i="6"/>
  <c r="R437" i="6"/>
  <c r="Q437" i="6"/>
  <c r="S436" i="6"/>
  <c r="R436" i="6"/>
  <c r="Q436" i="6"/>
  <c r="G436" i="6"/>
  <c r="S435" i="6"/>
  <c r="R435" i="6"/>
  <c r="Q435" i="6"/>
  <c r="G435" i="6"/>
  <c r="S434" i="6"/>
  <c r="R434" i="6"/>
  <c r="Q434" i="6"/>
  <c r="G434" i="6"/>
  <c r="S433" i="6"/>
  <c r="R433" i="6"/>
  <c r="Q433" i="6"/>
  <c r="I433" i="6"/>
  <c r="G433" i="6"/>
  <c r="S432" i="6"/>
  <c r="R432" i="6"/>
  <c r="Q432" i="6"/>
  <c r="I432" i="6"/>
  <c r="G432" i="6"/>
  <c r="S431" i="6"/>
  <c r="R431" i="6"/>
  <c r="Q431" i="6"/>
  <c r="G431" i="6"/>
  <c r="S430" i="6"/>
  <c r="R430" i="6"/>
  <c r="Q430" i="6"/>
  <c r="S429" i="6"/>
  <c r="R429" i="6"/>
  <c r="Q429" i="6"/>
  <c r="G429" i="6"/>
  <c r="S428" i="6"/>
  <c r="R428" i="6"/>
  <c r="Q428" i="6"/>
  <c r="S427" i="6"/>
  <c r="R427" i="6"/>
  <c r="Q427" i="6"/>
  <c r="G427" i="6"/>
  <c r="S426" i="6"/>
  <c r="R426" i="6"/>
  <c r="Q426" i="6"/>
  <c r="I426" i="6"/>
  <c r="G426" i="6"/>
  <c r="S425" i="6"/>
  <c r="R425" i="6"/>
  <c r="Q425" i="6"/>
  <c r="G425" i="6"/>
  <c r="S424" i="6"/>
  <c r="R424" i="6"/>
  <c r="Q424" i="6"/>
  <c r="G424" i="6"/>
  <c r="S423" i="6"/>
  <c r="R423" i="6"/>
  <c r="Q423" i="6"/>
  <c r="G423" i="6"/>
  <c r="S422" i="6"/>
  <c r="R422" i="6"/>
  <c r="Q422" i="6"/>
  <c r="G422" i="6"/>
  <c r="S421" i="6"/>
  <c r="R421" i="6"/>
  <c r="Q421" i="6"/>
  <c r="G421" i="6"/>
  <c r="S420" i="6"/>
  <c r="R420" i="6"/>
  <c r="Q420" i="6"/>
  <c r="G420" i="6"/>
  <c r="S419" i="6"/>
  <c r="R419" i="6"/>
  <c r="Q419" i="6"/>
  <c r="G419" i="6"/>
  <c r="S418" i="6"/>
  <c r="R418" i="6"/>
  <c r="Q418" i="6"/>
  <c r="G418" i="6"/>
  <c r="S417" i="6"/>
  <c r="R417" i="6"/>
  <c r="Q417" i="6"/>
  <c r="I417" i="6"/>
  <c r="G417" i="6"/>
  <c r="S416" i="6"/>
  <c r="R416" i="6"/>
  <c r="Q416" i="6"/>
  <c r="G416" i="6"/>
  <c r="S415" i="6"/>
  <c r="R415" i="6"/>
  <c r="Q415" i="6"/>
  <c r="G415" i="6"/>
  <c r="S414" i="6"/>
  <c r="R414" i="6"/>
  <c r="Q414" i="6"/>
  <c r="G414" i="6"/>
  <c r="S413" i="6"/>
  <c r="R413" i="6"/>
  <c r="Q413" i="6"/>
  <c r="S412" i="6"/>
  <c r="R412" i="6"/>
  <c r="Q412" i="6"/>
  <c r="G412" i="6"/>
  <c r="S411" i="6"/>
  <c r="R411" i="6"/>
  <c r="Q411" i="6"/>
  <c r="G411" i="6"/>
  <c r="S410" i="6"/>
  <c r="R410" i="6"/>
  <c r="Q410" i="6"/>
  <c r="G410" i="6"/>
  <c r="S409" i="6"/>
  <c r="R409" i="6"/>
  <c r="Q409" i="6"/>
  <c r="G409" i="6"/>
  <c r="S408" i="6"/>
  <c r="R408" i="6"/>
  <c r="Q408" i="6"/>
  <c r="S407" i="6"/>
  <c r="R407" i="6"/>
  <c r="Q407" i="6"/>
  <c r="G407" i="6"/>
  <c r="S406" i="6"/>
  <c r="R406" i="6"/>
  <c r="Q406" i="6"/>
  <c r="G406" i="6"/>
  <c r="S405" i="6"/>
  <c r="R405" i="6"/>
  <c r="Q405" i="6"/>
  <c r="G405" i="6"/>
  <c r="S404" i="6"/>
  <c r="R404" i="6"/>
  <c r="Q404" i="6"/>
  <c r="S403" i="6"/>
  <c r="R403" i="6"/>
  <c r="Q403" i="6"/>
  <c r="G403" i="6"/>
  <c r="S402" i="6"/>
  <c r="R402" i="6"/>
  <c r="Q402" i="6"/>
  <c r="G402" i="6"/>
  <c r="S401" i="6"/>
  <c r="R401" i="6"/>
  <c r="Q401" i="6"/>
  <c r="G401" i="6"/>
  <c r="S400" i="6"/>
  <c r="R400" i="6"/>
  <c r="Q400" i="6"/>
  <c r="S399" i="6"/>
  <c r="R399" i="6"/>
  <c r="Q399" i="6"/>
  <c r="S398" i="6"/>
  <c r="R398" i="6"/>
  <c r="Q398" i="6"/>
  <c r="S397" i="6"/>
  <c r="R397" i="6"/>
  <c r="Q397" i="6"/>
  <c r="S396" i="6"/>
  <c r="R396" i="6"/>
  <c r="Q396" i="6"/>
  <c r="G396" i="6"/>
  <c r="S395" i="6"/>
  <c r="R395" i="6"/>
  <c r="Q395" i="6"/>
  <c r="G395" i="6"/>
  <c r="S394" i="6"/>
  <c r="R394" i="6"/>
  <c r="Q394" i="6"/>
  <c r="G394" i="6"/>
  <c r="S393" i="6"/>
  <c r="R393" i="6"/>
  <c r="Q393" i="6"/>
  <c r="G393" i="6"/>
  <c r="S392" i="6"/>
  <c r="R392" i="6"/>
  <c r="Q392" i="6"/>
  <c r="G392" i="6"/>
  <c r="S391" i="6"/>
  <c r="R391" i="6"/>
  <c r="Q391" i="6"/>
  <c r="G391" i="6"/>
  <c r="S390" i="6"/>
  <c r="R390" i="6"/>
  <c r="Q390" i="6"/>
  <c r="G390" i="6"/>
  <c r="S389" i="6"/>
  <c r="R389" i="6"/>
  <c r="Q389" i="6"/>
  <c r="G389" i="6"/>
  <c r="S388" i="6"/>
  <c r="R388" i="6"/>
  <c r="Q388" i="6"/>
  <c r="G388" i="6"/>
  <c r="S387" i="6"/>
  <c r="R387" i="6"/>
  <c r="Q387" i="6"/>
  <c r="G387" i="6"/>
  <c r="S386" i="6"/>
  <c r="R386" i="6"/>
  <c r="Q386" i="6"/>
  <c r="G386" i="6"/>
  <c r="S385" i="6"/>
  <c r="R385" i="6"/>
  <c r="Q385" i="6"/>
  <c r="G385" i="6"/>
  <c r="S384" i="6"/>
  <c r="R384" i="6"/>
  <c r="Q384" i="6"/>
  <c r="G384" i="6"/>
  <c r="S383" i="6"/>
  <c r="R383" i="6"/>
  <c r="Q383" i="6"/>
  <c r="G383" i="6"/>
  <c r="S382" i="6"/>
  <c r="R382" i="6"/>
  <c r="Q382" i="6"/>
  <c r="G382" i="6"/>
  <c r="S381" i="6"/>
  <c r="R381" i="6"/>
  <c r="Q381" i="6"/>
  <c r="G381" i="6"/>
  <c r="S380" i="6"/>
  <c r="R380" i="6"/>
  <c r="Q380" i="6"/>
  <c r="G380" i="6"/>
  <c r="S379" i="6"/>
  <c r="R379" i="6"/>
  <c r="Q379" i="6"/>
  <c r="S378" i="6"/>
  <c r="R378" i="6"/>
  <c r="Q378" i="6"/>
  <c r="G378" i="6"/>
  <c r="S377" i="6"/>
  <c r="R377" i="6"/>
  <c r="Q377" i="6"/>
  <c r="G377" i="6"/>
  <c r="S376" i="6"/>
  <c r="R376" i="6"/>
  <c r="Q376" i="6"/>
  <c r="I376" i="6"/>
  <c r="G376" i="6"/>
  <c r="S375" i="6"/>
  <c r="R375" i="6"/>
  <c r="Q375" i="6"/>
  <c r="G375" i="6"/>
  <c r="S374" i="6"/>
  <c r="R374" i="6"/>
  <c r="Q374" i="6"/>
  <c r="S373" i="6"/>
  <c r="R373" i="6"/>
  <c r="Q373" i="6"/>
  <c r="G373" i="6"/>
  <c r="S372" i="6"/>
  <c r="R372" i="6"/>
  <c r="Q372" i="6"/>
  <c r="I372" i="6"/>
  <c r="G372" i="6"/>
  <c r="S371" i="6"/>
  <c r="R371" i="6"/>
  <c r="Q371" i="6"/>
  <c r="G371" i="6"/>
  <c r="S370" i="6"/>
  <c r="R370" i="6"/>
  <c r="Q370" i="6"/>
  <c r="G370" i="6"/>
  <c r="S369" i="6"/>
  <c r="R369" i="6"/>
  <c r="Q369" i="6"/>
  <c r="G369" i="6"/>
  <c r="S368" i="6"/>
  <c r="R368" i="6"/>
  <c r="Q368" i="6"/>
  <c r="I368" i="6"/>
  <c r="G368" i="6"/>
  <c r="S367" i="6"/>
  <c r="R367" i="6"/>
  <c r="Q367" i="6"/>
  <c r="G367" i="6"/>
  <c r="S366" i="6"/>
  <c r="R366" i="6"/>
  <c r="Q366" i="6"/>
  <c r="G366" i="6"/>
  <c r="S365" i="6"/>
  <c r="R365" i="6"/>
  <c r="Q365" i="6"/>
  <c r="G365" i="6"/>
  <c r="S364" i="6"/>
  <c r="R364" i="6"/>
  <c r="Q364" i="6"/>
  <c r="G364" i="6"/>
  <c r="S363" i="6"/>
  <c r="R363" i="6"/>
  <c r="Q363" i="6"/>
  <c r="G363" i="6"/>
  <c r="S362" i="6"/>
  <c r="R362" i="6"/>
  <c r="Q362" i="6"/>
  <c r="G362" i="6"/>
  <c r="S361" i="6"/>
  <c r="R361" i="6"/>
  <c r="Q361" i="6"/>
  <c r="S360" i="6"/>
  <c r="R360" i="6"/>
  <c r="Q360" i="6"/>
  <c r="G360" i="6"/>
  <c r="S359" i="6"/>
  <c r="R359" i="6"/>
  <c r="Q359" i="6"/>
  <c r="G359" i="6"/>
  <c r="S358" i="6"/>
  <c r="R358" i="6"/>
  <c r="Q358" i="6"/>
  <c r="G358" i="6"/>
  <c r="S357" i="6"/>
  <c r="R357" i="6"/>
  <c r="Q357" i="6"/>
  <c r="S356" i="6"/>
  <c r="R356" i="6"/>
  <c r="Q356" i="6"/>
  <c r="G356" i="6"/>
  <c r="S355" i="6"/>
  <c r="R355" i="6"/>
  <c r="Q355" i="6"/>
  <c r="G355" i="6"/>
  <c r="S354" i="6"/>
  <c r="R354" i="6"/>
  <c r="Q354" i="6"/>
  <c r="G354" i="6"/>
  <c r="S353" i="6"/>
  <c r="R353" i="6"/>
  <c r="Q353" i="6"/>
  <c r="G353" i="6"/>
  <c r="S352" i="6"/>
  <c r="R352" i="6"/>
  <c r="Q352" i="6"/>
  <c r="I352" i="6"/>
  <c r="G352" i="6"/>
  <c r="S351" i="6"/>
  <c r="R351" i="6"/>
  <c r="Q351" i="6"/>
  <c r="G351" i="6"/>
  <c r="S350" i="6"/>
  <c r="R350" i="6"/>
  <c r="Q350" i="6"/>
  <c r="G350" i="6"/>
  <c r="S349" i="6"/>
  <c r="R349" i="6"/>
  <c r="Q349" i="6"/>
  <c r="G349" i="6"/>
  <c r="S348" i="6"/>
  <c r="R348" i="6"/>
  <c r="Q348" i="6"/>
  <c r="G348" i="6"/>
  <c r="S347" i="6"/>
  <c r="R347" i="6"/>
  <c r="Q347" i="6"/>
  <c r="G347" i="6"/>
  <c r="S346" i="6"/>
  <c r="R346" i="6"/>
  <c r="Q346" i="6"/>
  <c r="G346" i="6"/>
  <c r="S345" i="6"/>
  <c r="R345" i="6"/>
  <c r="Q345" i="6"/>
  <c r="G345" i="6"/>
  <c r="S344" i="6"/>
  <c r="R344" i="6"/>
  <c r="Q344" i="6"/>
  <c r="G344" i="6"/>
  <c r="S343" i="6"/>
  <c r="R343" i="6"/>
  <c r="Q343" i="6"/>
  <c r="G343" i="6"/>
  <c r="S342" i="6"/>
  <c r="R342" i="6"/>
  <c r="Q342" i="6"/>
  <c r="G342" i="6"/>
  <c r="S341" i="6"/>
  <c r="R341" i="6"/>
  <c r="Q341" i="6"/>
  <c r="G341" i="6"/>
  <c r="S340" i="6"/>
  <c r="R340" i="6"/>
  <c r="Q340" i="6"/>
  <c r="G340" i="6"/>
  <c r="S339" i="6"/>
  <c r="R339" i="6"/>
  <c r="Q339" i="6"/>
  <c r="G339" i="6"/>
  <c r="S338" i="6"/>
  <c r="R338" i="6"/>
  <c r="Q338" i="6"/>
  <c r="I338" i="6"/>
  <c r="G338" i="6"/>
  <c r="S337" i="6"/>
  <c r="R337" i="6"/>
  <c r="Q337" i="6"/>
  <c r="G337" i="6"/>
  <c r="S336" i="6"/>
  <c r="R336" i="6"/>
  <c r="Q336" i="6"/>
  <c r="G336" i="6"/>
  <c r="S335" i="6"/>
  <c r="R335" i="6"/>
  <c r="Q335" i="6"/>
  <c r="G335" i="6"/>
  <c r="S334" i="6"/>
  <c r="R334" i="6"/>
  <c r="Q334" i="6"/>
  <c r="G334" i="6"/>
  <c r="S333" i="6"/>
  <c r="R333" i="6"/>
  <c r="Q333" i="6"/>
  <c r="G333" i="6"/>
  <c r="S332" i="6"/>
  <c r="R332" i="6"/>
  <c r="Q332" i="6"/>
  <c r="G332" i="6"/>
  <c r="S331" i="6"/>
  <c r="R331" i="6"/>
  <c r="Q331" i="6"/>
  <c r="G331" i="6"/>
  <c r="S330" i="6"/>
  <c r="R330" i="6"/>
  <c r="Q330" i="6"/>
  <c r="G330" i="6"/>
  <c r="S329" i="6"/>
  <c r="R329" i="6"/>
  <c r="Q329" i="6"/>
  <c r="S328" i="6"/>
  <c r="R328" i="6"/>
  <c r="Q328" i="6"/>
  <c r="S327" i="6"/>
  <c r="R327" i="6"/>
  <c r="Q327" i="6"/>
  <c r="I327" i="6"/>
  <c r="G327" i="6"/>
  <c r="S326" i="6"/>
  <c r="R326" i="6"/>
  <c r="Q326" i="6"/>
  <c r="S325" i="6"/>
  <c r="R325" i="6"/>
  <c r="Q325" i="6"/>
  <c r="S324" i="6"/>
  <c r="R324" i="6"/>
  <c r="Q324" i="6"/>
  <c r="G324" i="6"/>
  <c r="S323" i="6"/>
  <c r="R323" i="6"/>
  <c r="Q323" i="6"/>
  <c r="G323" i="6"/>
  <c r="S322" i="6"/>
  <c r="R322" i="6"/>
  <c r="Q322" i="6"/>
  <c r="G322" i="6"/>
  <c r="S321" i="6"/>
  <c r="R321" i="6"/>
  <c r="Q321" i="6"/>
  <c r="G321" i="6"/>
  <c r="S320" i="6"/>
  <c r="R320" i="6"/>
  <c r="Q320" i="6"/>
  <c r="G320" i="6"/>
  <c r="S319" i="6"/>
  <c r="R319" i="6"/>
  <c r="Q319" i="6"/>
  <c r="G319" i="6"/>
  <c r="S318" i="6"/>
  <c r="R318" i="6"/>
  <c r="Q318" i="6"/>
  <c r="G318" i="6"/>
  <c r="S317" i="6"/>
  <c r="R317" i="6"/>
  <c r="Q317" i="6"/>
  <c r="S316" i="6"/>
  <c r="R316" i="6"/>
  <c r="Q316" i="6"/>
  <c r="G316" i="6"/>
  <c r="S315" i="6"/>
  <c r="R315" i="6"/>
  <c r="Q315" i="6"/>
  <c r="G315" i="6"/>
  <c r="S314" i="6"/>
  <c r="R314" i="6"/>
  <c r="Q314" i="6"/>
  <c r="G314" i="6"/>
  <c r="S313" i="6"/>
  <c r="R313" i="6"/>
  <c r="Q313" i="6"/>
  <c r="G313" i="6"/>
  <c r="S312" i="6"/>
  <c r="R312" i="6"/>
  <c r="Q312" i="6"/>
  <c r="G312" i="6"/>
  <c r="S311" i="6"/>
  <c r="R311" i="6"/>
  <c r="Q311" i="6"/>
  <c r="S310" i="6"/>
  <c r="R310" i="6"/>
  <c r="Q310" i="6"/>
  <c r="G310" i="6"/>
  <c r="S309" i="6"/>
  <c r="R309" i="6"/>
  <c r="Q309" i="6"/>
  <c r="G309" i="6"/>
  <c r="S308" i="6"/>
  <c r="R308" i="6"/>
  <c r="Q308" i="6"/>
  <c r="G308" i="6"/>
  <c r="S307" i="6"/>
  <c r="R307" i="6"/>
  <c r="Q307" i="6"/>
  <c r="G307" i="6"/>
  <c r="S306" i="6"/>
  <c r="R306" i="6"/>
  <c r="Q306" i="6"/>
  <c r="G306" i="6"/>
  <c r="S305" i="6"/>
  <c r="R305" i="6"/>
  <c r="Q305" i="6"/>
  <c r="S304" i="6"/>
  <c r="R304" i="6"/>
  <c r="Q304" i="6"/>
  <c r="G304" i="6"/>
  <c r="S303" i="6"/>
  <c r="R303" i="6"/>
  <c r="Q303" i="6"/>
  <c r="G303" i="6"/>
  <c r="S302" i="6"/>
  <c r="R302" i="6"/>
  <c r="Q302" i="6"/>
  <c r="S301" i="6"/>
  <c r="R301" i="6"/>
  <c r="Q301" i="6"/>
  <c r="I301" i="6"/>
  <c r="G301" i="6"/>
  <c r="S300" i="6"/>
  <c r="R300" i="6"/>
  <c r="Q300" i="6"/>
  <c r="G300" i="6"/>
  <c r="S299" i="6"/>
  <c r="R299" i="6"/>
  <c r="Q299" i="6"/>
  <c r="G299" i="6"/>
  <c r="S298" i="6"/>
  <c r="R298" i="6"/>
  <c r="Q298" i="6"/>
  <c r="G298" i="6"/>
  <c r="S297" i="6"/>
  <c r="R297" i="6"/>
  <c r="Q297" i="6"/>
  <c r="G297" i="6"/>
  <c r="S296" i="6"/>
  <c r="R296" i="6"/>
  <c r="Q296" i="6"/>
  <c r="I296" i="6"/>
  <c r="G296" i="6"/>
  <c r="S295" i="6"/>
  <c r="R295" i="6"/>
  <c r="Q295" i="6"/>
  <c r="G295" i="6"/>
  <c r="S294" i="6"/>
  <c r="R294" i="6"/>
  <c r="Q294" i="6"/>
  <c r="G294" i="6"/>
  <c r="S293" i="6"/>
  <c r="R293" i="6"/>
  <c r="Q293" i="6"/>
  <c r="G293" i="6"/>
  <c r="S292" i="6"/>
  <c r="R292" i="6"/>
  <c r="Q292" i="6"/>
  <c r="G292" i="6"/>
  <c r="S291" i="6"/>
  <c r="R291" i="6"/>
  <c r="Q291" i="6"/>
  <c r="G291" i="6"/>
  <c r="S290" i="6"/>
  <c r="R290" i="6"/>
  <c r="Q290" i="6"/>
  <c r="G290" i="6"/>
  <c r="S289" i="6"/>
  <c r="R289" i="6"/>
  <c r="Q289" i="6"/>
  <c r="G289" i="6"/>
  <c r="S288" i="6"/>
  <c r="R288" i="6"/>
  <c r="Q288" i="6"/>
  <c r="G288" i="6"/>
  <c r="S287" i="6"/>
  <c r="R287" i="6"/>
  <c r="Q287" i="6"/>
  <c r="G287" i="6"/>
  <c r="S286" i="6"/>
  <c r="R286" i="6"/>
  <c r="Q286" i="6"/>
  <c r="G286" i="6"/>
  <c r="S285" i="6"/>
  <c r="R285" i="6"/>
  <c r="Q285" i="6"/>
  <c r="G285" i="6"/>
  <c r="S284" i="6"/>
  <c r="R284" i="6"/>
  <c r="Q284" i="6"/>
  <c r="G284" i="6"/>
  <c r="S283" i="6"/>
  <c r="R283" i="6"/>
  <c r="Q283" i="6"/>
  <c r="G283" i="6"/>
  <c r="S282" i="6"/>
  <c r="R282" i="6"/>
  <c r="Q282" i="6"/>
  <c r="G282" i="6"/>
  <c r="S281" i="6"/>
  <c r="R281" i="6"/>
  <c r="Q281" i="6"/>
  <c r="I281" i="6"/>
  <c r="G281" i="6"/>
  <c r="S280" i="6"/>
  <c r="R280" i="6"/>
  <c r="Q280" i="6"/>
  <c r="G280" i="6"/>
  <c r="S279" i="6"/>
  <c r="R279" i="6"/>
  <c r="Q279" i="6"/>
  <c r="G279" i="6"/>
  <c r="S278" i="6"/>
  <c r="R278" i="6"/>
  <c r="Q278" i="6"/>
  <c r="G278" i="6"/>
  <c r="S277" i="6"/>
  <c r="R277" i="6"/>
  <c r="Q277" i="6"/>
  <c r="G277" i="6"/>
  <c r="S276" i="6"/>
  <c r="R276" i="6"/>
  <c r="Q276" i="6"/>
  <c r="G276" i="6"/>
  <c r="S275" i="6"/>
  <c r="R275" i="6"/>
  <c r="Q275" i="6"/>
  <c r="G275" i="6"/>
  <c r="S274" i="6"/>
  <c r="R274" i="6"/>
  <c r="Q274" i="6"/>
  <c r="G274" i="6"/>
  <c r="S273" i="6"/>
  <c r="R273" i="6"/>
  <c r="Q273" i="6"/>
  <c r="I273" i="6"/>
  <c r="G273" i="6"/>
  <c r="S272" i="6"/>
  <c r="R272" i="6"/>
  <c r="Q272" i="6"/>
  <c r="G272" i="6"/>
  <c r="S271" i="6"/>
  <c r="R271" i="6"/>
  <c r="Q271" i="6"/>
  <c r="G271" i="6"/>
  <c r="S270" i="6"/>
  <c r="R270" i="6"/>
  <c r="Q270" i="6"/>
  <c r="G270" i="6"/>
  <c r="S269" i="6"/>
  <c r="R269" i="6"/>
  <c r="Q269" i="6"/>
  <c r="G269" i="6"/>
  <c r="S268" i="6"/>
  <c r="R268" i="6"/>
  <c r="Q268" i="6"/>
  <c r="G268" i="6"/>
  <c r="S267" i="6"/>
  <c r="R267" i="6"/>
  <c r="Q267" i="6"/>
  <c r="G267" i="6"/>
  <c r="S266" i="6"/>
  <c r="R266" i="6"/>
  <c r="Q266" i="6"/>
  <c r="G266" i="6"/>
  <c r="S265" i="6"/>
  <c r="R265" i="6"/>
  <c r="Q265" i="6"/>
  <c r="G265" i="6"/>
  <c r="S264" i="6"/>
  <c r="R264" i="6"/>
  <c r="Q264" i="6"/>
  <c r="I264" i="6"/>
  <c r="G264" i="6"/>
  <c r="S263" i="6"/>
  <c r="R263" i="6"/>
  <c r="Q263" i="6"/>
  <c r="G263" i="6"/>
  <c r="S262" i="6"/>
  <c r="R262" i="6"/>
  <c r="Q262" i="6"/>
  <c r="G262" i="6"/>
  <c r="S261" i="6"/>
  <c r="R261" i="6"/>
  <c r="Q261" i="6"/>
  <c r="G261" i="6"/>
  <c r="S260" i="6"/>
  <c r="R260" i="6"/>
  <c r="Q260" i="6"/>
  <c r="G260" i="6"/>
  <c r="S259" i="6"/>
  <c r="R259" i="6"/>
  <c r="Q259" i="6"/>
  <c r="G259" i="6"/>
  <c r="S258" i="6"/>
  <c r="R258" i="6"/>
  <c r="Q258" i="6"/>
  <c r="G258" i="6"/>
  <c r="S257" i="6"/>
  <c r="R257" i="6"/>
  <c r="Q257" i="6"/>
  <c r="G257" i="6"/>
  <c r="S256" i="6"/>
  <c r="R256" i="6"/>
  <c r="Q256" i="6"/>
  <c r="G256" i="6"/>
  <c r="S255" i="6"/>
  <c r="R255" i="6"/>
  <c r="Q255" i="6"/>
  <c r="G255" i="6"/>
  <c r="S254" i="6"/>
  <c r="R254" i="6"/>
  <c r="Q254" i="6"/>
  <c r="G254" i="6"/>
  <c r="S253" i="6"/>
  <c r="R253" i="6"/>
  <c r="Q253" i="6"/>
  <c r="G253" i="6"/>
  <c r="S252" i="6"/>
  <c r="R252" i="6"/>
  <c r="Q252" i="6"/>
  <c r="G252" i="6"/>
  <c r="S251" i="6"/>
  <c r="R251" i="6"/>
  <c r="Q251" i="6"/>
  <c r="I251" i="6"/>
  <c r="G251" i="6"/>
  <c r="S250" i="6"/>
  <c r="R250" i="6"/>
  <c r="Q250" i="6"/>
  <c r="G250" i="6"/>
  <c r="S249" i="6"/>
  <c r="R249" i="6"/>
  <c r="Q249" i="6"/>
  <c r="G249" i="6"/>
  <c r="S248" i="6"/>
  <c r="R248" i="6"/>
  <c r="Q248" i="6"/>
  <c r="G248" i="6"/>
  <c r="S247" i="6"/>
  <c r="R247" i="6"/>
  <c r="Q247" i="6"/>
  <c r="S246" i="6"/>
  <c r="R246" i="6"/>
  <c r="Q246" i="6"/>
  <c r="G246" i="6"/>
  <c r="S245" i="6"/>
  <c r="R245" i="6"/>
  <c r="Q245" i="6"/>
  <c r="G245" i="6"/>
  <c r="S244" i="6"/>
  <c r="R244" i="6"/>
  <c r="Q244" i="6"/>
  <c r="G244" i="6"/>
  <c r="S243" i="6"/>
  <c r="R243" i="6"/>
  <c r="Q243" i="6"/>
  <c r="G243" i="6"/>
  <c r="S242" i="6"/>
  <c r="R242" i="6"/>
  <c r="Q242" i="6"/>
  <c r="G242" i="6"/>
  <c r="S241" i="6"/>
  <c r="R241" i="6"/>
  <c r="Q241" i="6"/>
  <c r="G241" i="6"/>
  <c r="S240" i="6"/>
  <c r="R240" i="6"/>
  <c r="Q240" i="6"/>
  <c r="G240" i="6"/>
  <c r="S239" i="6"/>
  <c r="R239" i="6"/>
  <c r="Q239" i="6"/>
  <c r="G239" i="6"/>
  <c r="S238" i="6"/>
  <c r="R238" i="6"/>
  <c r="Q238" i="6"/>
  <c r="G238" i="6"/>
  <c r="S237" i="6"/>
  <c r="R237" i="6"/>
  <c r="Q237" i="6"/>
  <c r="G237" i="6"/>
  <c r="S236" i="6"/>
  <c r="R236" i="6"/>
  <c r="Q236" i="6"/>
  <c r="G236" i="6"/>
  <c r="S235" i="6"/>
  <c r="R235" i="6"/>
  <c r="Q235" i="6"/>
  <c r="G235" i="6"/>
  <c r="S234" i="6"/>
  <c r="R234" i="6"/>
  <c r="Q234" i="6"/>
  <c r="G234" i="6"/>
  <c r="S233" i="6"/>
  <c r="R233" i="6"/>
  <c r="Q233" i="6"/>
  <c r="S232" i="6"/>
  <c r="R232" i="6"/>
  <c r="Q232" i="6"/>
  <c r="S231" i="6"/>
  <c r="R231" i="6"/>
  <c r="Q231" i="6"/>
  <c r="G231" i="6"/>
  <c r="S230" i="6"/>
  <c r="R230" i="6"/>
  <c r="Q230" i="6"/>
  <c r="G230" i="6"/>
  <c r="S229" i="6"/>
  <c r="R229" i="6"/>
  <c r="Q229" i="6"/>
  <c r="G229" i="6"/>
  <c r="S228" i="6"/>
  <c r="R228" i="6"/>
  <c r="Q228" i="6"/>
  <c r="G228" i="6"/>
  <c r="S227" i="6"/>
  <c r="R227" i="6"/>
  <c r="Q227" i="6"/>
  <c r="G227" i="6"/>
  <c r="S226" i="6"/>
  <c r="R226" i="6"/>
  <c r="Q226" i="6"/>
  <c r="G226" i="6"/>
  <c r="S225" i="6"/>
  <c r="R225" i="6"/>
  <c r="Q225" i="6"/>
  <c r="G225" i="6"/>
  <c r="S224" i="6"/>
  <c r="R224" i="6"/>
  <c r="Q224" i="6"/>
  <c r="G224" i="6"/>
  <c r="S223" i="6"/>
  <c r="R223" i="6"/>
  <c r="Q223" i="6"/>
  <c r="S222" i="6"/>
  <c r="R222" i="6"/>
  <c r="Q222" i="6"/>
  <c r="G222" i="6"/>
  <c r="S221" i="6"/>
  <c r="R221" i="6"/>
  <c r="Q221" i="6"/>
  <c r="G221" i="6"/>
  <c r="S220" i="6"/>
  <c r="R220" i="6"/>
  <c r="Q220" i="6"/>
  <c r="G220" i="6"/>
  <c r="S219" i="6"/>
  <c r="R219" i="6"/>
  <c r="Q219" i="6"/>
  <c r="G219" i="6"/>
  <c r="S218" i="6"/>
  <c r="R218" i="6"/>
  <c r="Q218" i="6"/>
  <c r="G218" i="6"/>
  <c r="S217" i="6"/>
  <c r="R217" i="6"/>
  <c r="Q217" i="6"/>
  <c r="G217" i="6"/>
  <c r="S216" i="6"/>
  <c r="R216" i="6"/>
  <c r="Q216" i="6"/>
  <c r="G216" i="6"/>
  <c r="S215" i="6"/>
  <c r="R215" i="6"/>
  <c r="Q215" i="6"/>
  <c r="G215" i="6"/>
  <c r="S214" i="6"/>
  <c r="R214" i="6"/>
  <c r="Q214" i="6"/>
  <c r="G214" i="6"/>
  <c r="S213" i="6"/>
  <c r="R213" i="6"/>
  <c r="Q213" i="6"/>
  <c r="G213" i="6"/>
  <c r="S212" i="6"/>
  <c r="R212" i="6"/>
  <c r="Q212" i="6"/>
  <c r="I212" i="6"/>
  <c r="G212" i="6"/>
  <c r="S211" i="6"/>
  <c r="R211" i="6"/>
  <c r="Q211" i="6"/>
  <c r="I211" i="6"/>
  <c r="G211" i="6"/>
  <c r="S210" i="6"/>
  <c r="R210" i="6"/>
  <c r="Q210" i="6"/>
  <c r="G210" i="6"/>
  <c r="S209" i="6"/>
  <c r="R209" i="6"/>
  <c r="Q209" i="6"/>
  <c r="G209" i="6"/>
  <c r="S208" i="6"/>
  <c r="R208" i="6"/>
  <c r="Q208" i="6"/>
  <c r="S207" i="6"/>
  <c r="R207" i="6"/>
  <c r="Q207" i="6"/>
  <c r="S206" i="6"/>
  <c r="R206" i="6"/>
  <c r="Q206" i="6"/>
  <c r="G206" i="6"/>
  <c r="S205" i="6"/>
  <c r="R205" i="6"/>
  <c r="Q205" i="6"/>
  <c r="G205" i="6"/>
  <c r="S204" i="6"/>
  <c r="R204" i="6"/>
  <c r="Q204" i="6"/>
  <c r="S203" i="6"/>
  <c r="R203" i="6"/>
  <c r="Q203" i="6"/>
  <c r="S202" i="6"/>
  <c r="R202" i="6"/>
  <c r="Q202" i="6"/>
  <c r="G202" i="6"/>
  <c r="S201" i="6"/>
  <c r="R201" i="6"/>
  <c r="Q201" i="6"/>
  <c r="G201" i="6"/>
  <c r="S200" i="6"/>
  <c r="R200" i="6"/>
  <c r="Q200" i="6"/>
  <c r="G200" i="6"/>
  <c r="S199" i="6"/>
  <c r="R199" i="6"/>
  <c r="Q199" i="6"/>
  <c r="G199" i="6"/>
  <c r="S198" i="6"/>
  <c r="R198" i="6"/>
  <c r="Q198" i="6"/>
  <c r="G198" i="6"/>
  <c r="S197" i="6"/>
  <c r="R197" i="6"/>
  <c r="Q197" i="6"/>
  <c r="S196" i="6"/>
  <c r="R196" i="6"/>
  <c r="Q196" i="6"/>
  <c r="G196" i="6"/>
  <c r="S195" i="6"/>
  <c r="R195" i="6"/>
  <c r="Q195" i="6"/>
  <c r="G195" i="6"/>
  <c r="S194" i="6"/>
  <c r="R194" i="6"/>
  <c r="Q194" i="6"/>
  <c r="I194" i="6"/>
  <c r="G194" i="6"/>
  <c r="S193" i="6"/>
  <c r="R193" i="6"/>
  <c r="Q193" i="6"/>
  <c r="G193" i="6"/>
  <c r="S192" i="6"/>
  <c r="R192" i="6"/>
  <c r="Q192" i="6"/>
  <c r="G192" i="6"/>
  <c r="S191" i="6"/>
  <c r="R191" i="6"/>
  <c r="Q191" i="6"/>
  <c r="G191" i="6"/>
  <c r="S190" i="6"/>
  <c r="R190" i="6"/>
  <c r="Q190" i="6"/>
  <c r="G190" i="6"/>
  <c r="S189" i="6"/>
  <c r="R189" i="6"/>
  <c r="Q189" i="6"/>
  <c r="G189" i="6"/>
  <c r="S188" i="6"/>
  <c r="R188" i="6"/>
  <c r="Q188" i="6"/>
  <c r="G188" i="6"/>
  <c r="S187" i="6"/>
  <c r="R187" i="6"/>
  <c r="Q187" i="6"/>
  <c r="S186" i="6"/>
  <c r="R186" i="6"/>
  <c r="Q186" i="6"/>
  <c r="G186" i="6"/>
  <c r="S185" i="6"/>
  <c r="R185" i="6"/>
  <c r="Q185" i="6"/>
  <c r="G185" i="6"/>
  <c r="S184" i="6"/>
  <c r="R184" i="6"/>
  <c r="Q184" i="6"/>
  <c r="G184" i="6"/>
  <c r="S183" i="6"/>
  <c r="R183" i="6"/>
  <c r="Q183" i="6"/>
  <c r="G183" i="6"/>
  <c r="S182" i="6"/>
  <c r="R182" i="6"/>
  <c r="Q182" i="6"/>
  <c r="G182" i="6"/>
  <c r="S181" i="6"/>
  <c r="R181" i="6"/>
  <c r="Q181" i="6"/>
  <c r="G181" i="6"/>
  <c r="S180" i="6"/>
  <c r="R180" i="6"/>
  <c r="Q180" i="6"/>
  <c r="G180" i="6"/>
  <c r="S179" i="6"/>
  <c r="R179" i="6"/>
  <c r="Q179" i="6"/>
  <c r="G179" i="6"/>
  <c r="S178" i="6"/>
  <c r="R178" i="6"/>
  <c r="Q178" i="6"/>
  <c r="G178" i="6"/>
  <c r="S177" i="6"/>
  <c r="R177" i="6"/>
  <c r="Q177" i="6"/>
  <c r="S176" i="6"/>
  <c r="R176" i="6"/>
  <c r="Q176" i="6"/>
  <c r="S175" i="6"/>
  <c r="R175" i="6"/>
  <c r="Q175" i="6"/>
  <c r="G175" i="6"/>
  <c r="S174" i="6"/>
  <c r="R174" i="6"/>
  <c r="Q174" i="6"/>
  <c r="I174" i="6"/>
  <c r="G174" i="6"/>
  <c r="S173" i="6"/>
  <c r="R173" i="6"/>
  <c r="Q173" i="6"/>
  <c r="G173" i="6"/>
  <c r="S172" i="6"/>
  <c r="R172" i="6"/>
  <c r="Q172" i="6"/>
  <c r="G172" i="6"/>
  <c r="S171" i="6"/>
  <c r="R171" i="6"/>
  <c r="Q171" i="6"/>
  <c r="G171" i="6"/>
  <c r="S170" i="6"/>
  <c r="R170" i="6"/>
  <c r="Q170" i="6"/>
  <c r="G170" i="6"/>
  <c r="S169" i="6"/>
  <c r="R169" i="6"/>
  <c r="Q169" i="6"/>
  <c r="S168" i="6"/>
  <c r="R168" i="6"/>
  <c r="Q168" i="6"/>
  <c r="G168" i="6"/>
  <c r="S167" i="6"/>
  <c r="R167" i="6"/>
  <c r="Q167" i="6"/>
  <c r="G167" i="6"/>
  <c r="S166" i="6"/>
  <c r="R166" i="6"/>
  <c r="Q166" i="6"/>
  <c r="I166" i="6"/>
  <c r="G166" i="6"/>
  <c r="S165" i="6"/>
  <c r="R165" i="6"/>
  <c r="Q165" i="6"/>
  <c r="I165" i="6"/>
  <c r="G165" i="6"/>
  <c r="S164" i="6"/>
  <c r="R164" i="6"/>
  <c r="Q164" i="6"/>
  <c r="I164" i="6"/>
  <c r="S163" i="6"/>
  <c r="R163" i="6"/>
  <c r="Q163" i="6"/>
  <c r="G163" i="6"/>
  <c r="S162" i="6"/>
  <c r="R162" i="6"/>
  <c r="Q162" i="6"/>
  <c r="G162" i="6"/>
  <c r="S161" i="6"/>
  <c r="R161" i="6"/>
  <c r="Q161" i="6"/>
  <c r="G161" i="6"/>
  <c r="S160" i="6"/>
  <c r="R160" i="6"/>
  <c r="Q160" i="6"/>
  <c r="G160" i="6"/>
  <c r="S159" i="6"/>
  <c r="R159" i="6"/>
  <c r="Q159" i="6"/>
  <c r="G159" i="6"/>
  <c r="S158" i="6"/>
  <c r="R158" i="6"/>
  <c r="Q158" i="6"/>
  <c r="G158" i="6"/>
  <c r="S157" i="6"/>
  <c r="R157" i="6"/>
  <c r="Q157" i="6"/>
  <c r="S156" i="6"/>
  <c r="R156" i="6"/>
  <c r="Q156" i="6"/>
  <c r="G156" i="6"/>
  <c r="S155" i="6"/>
  <c r="R155" i="6"/>
  <c r="Q155" i="6"/>
  <c r="G155" i="6"/>
  <c r="S154" i="6"/>
  <c r="R154" i="6"/>
  <c r="Q154" i="6"/>
  <c r="G154" i="6"/>
  <c r="S153" i="6"/>
  <c r="R153" i="6"/>
  <c r="Q153" i="6"/>
  <c r="G153" i="6"/>
  <c r="S152" i="6"/>
  <c r="R152" i="6"/>
  <c r="Q152" i="6"/>
  <c r="G152" i="6"/>
  <c r="S151" i="6"/>
  <c r="R151" i="6"/>
  <c r="Q151" i="6"/>
  <c r="G151" i="6"/>
  <c r="S150" i="6"/>
  <c r="R150" i="6"/>
  <c r="Q150" i="6"/>
  <c r="S149" i="6"/>
  <c r="R149" i="6"/>
  <c r="Q149" i="6"/>
  <c r="S148" i="6"/>
  <c r="R148" i="6"/>
  <c r="Q148" i="6"/>
  <c r="S147" i="6"/>
  <c r="R147" i="6"/>
  <c r="Q147" i="6"/>
  <c r="S146" i="6"/>
  <c r="R146" i="6"/>
  <c r="Q146" i="6"/>
  <c r="G146" i="6"/>
  <c r="S145" i="6"/>
  <c r="R145" i="6"/>
  <c r="Q145" i="6"/>
  <c r="G145" i="6"/>
  <c r="S144" i="6"/>
  <c r="R144" i="6"/>
  <c r="Q144" i="6"/>
  <c r="G144" i="6"/>
  <c r="S143" i="6"/>
  <c r="R143" i="6"/>
  <c r="Q143" i="6"/>
  <c r="G143" i="6"/>
  <c r="S142" i="6"/>
  <c r="R142" i="6"/>
  <c r="Q142" i="6"/>
  <c r="G142" i="6"/>
  <c r="S141" i="6"/>
  <c r="R141" i="6"/>
  <c r="Q141" i="6"/>
  <c r="G141" i="6"/>
  <c r="S140" i="6"/>
  <c r="R140" i="6"/>
  <c r="Q140" i="6"/>
  <c r="G140" i="6"/>
  <c r="S139" i="6"/>
  <c r="R139" i="6"/>
  <c r="Q139" i="6"/>
  <c r="G139" i="6"/>
  <c r="S138" i="6"/>
  <c r="R138" i="6"/>
  <c r="Q138" i="6"/>
  <c r="G138" i="6"/>
  <c r="S137" i="6"/>
  <c r="R137" i="6"/>
  <c r="Q137" i="6"/>
  <c r="G137" i="6"/>
  <c r="S136" i="6"/>
  <c r="R136" i="6"/>
  <c r="Q136" i="6"/>
  <c r="G136" i="6"/>
  <c r="S135" i="6"/>
  <c r="R135" i="6"/>
  <c r="Q135" i="6"/>
  <c r="G135" i="6"/>
  <c r="S134" i="6"/>
  <c r="R134" i="6"/>
  <c r="Q134" i="6"/>
  <c r="G134" i="6"/>
  <c r="S133" i="6"/>
  <c r="R133" i="6"/>
  <c r="Q133" i="6"/>
  <c r="G133" i="6"/>
  <c r="S132" i="6"/>
  <c r="R132" i="6"/>
  <c r="Q132" i="6"/>
  <c r="G132" i="6"/>
  <c r="S131" i="6"/>
  <c r="R131" i="6"/>
  <c r="Q131" i="6"/>
  <c r="G131" i="6"/>
  <c r="S130" i="6"/>
  <c r="R130" i="6"/>
  <c r="Q130" i="6"/>
  <c r="G130" i="6"/>
  <c r="S129" i="6"/>
  <c r="R129" i="6"/>
  <c r="Q129" i="6"/>
  <c r="G129" i="6"/>
  <c r="S128" i="6"/>
  <c r="R128" i="6"/>
  <c r="Q128" i="6"/>
  <c r="G128" i="6"/>
  <c r="S127" i="6"/>
  <c r="R127" i="6"/>
  <c r="Q127" i="6"/>
  <c r="G127" i="6"/>
  <c r="S126" i="6"/>
  <c r="R126" i="6"/>
  <c r="Q126" i="6"/>
  <c r="G126" i="6"/>
  <c r="S125" i="6"/>
  <c r="R125" i="6"/>
  <c r="Q125" i="6"/>
  <c r="G125" i="6"/>
  <c r="S124" i="6"/>
  <c r="R124" i="6"/>
  <c r="Q124" i="6"/>
  <c r="I124" i="6"/>
  <c r="G124" i="6"/>
  <c r="S123" i="6"/>
  <c r="R123" i="6"/>
  <c r="Q123" i="6"/>
  <c r="G123" i="6"/>
  <c r="S122" i="6"/>
  <c r="R122" i="6"/>
  <c r="Q122" i="6"/>
  <c r="G122" i="6"/>
  <c r="S121" i="6"/>
  <c r="R121" i="6"/>
  <c r="Q121" i="6"/>
  <c r="G121" i="6"/>
  <c r="S120" i="6"/>
  <c r="R120" i="6"/>
  <c r="Q120" i="6"/>
  <c r="G120" i="6"/>
  <c r="S119" i="6"/>
  <c r="R119" i="6"/>
  <c r="Q119" i="6"/>
  <c r="G119" i="6"/>
  <c r="S118" i="6"/>
  <c r="R118" i="6"/>
  <c r="Q118" i="6"/>
  <c r="G118" i="6"/>
  <c r="S117" i="6"/>
  <c r="R117" i="6"/>
  <c r="Q117" i="6"/>
  <c r="G117" i="6"/>
  <c r="S116" i="6"/>
  <c r="R116" i="6"/>
  <c r="Q116" i="6"/>
  <c r="G116" i="6"/>
  <c r="S115" i="6"/>
  <c r="R115" i="6"/>
  <c r="Q115" i="6"/>
  <c r="G115" i="6"/>
  <c r="S114" i="6"/>
  <c r="R114" i="6"/>
  <c r="Q114" i="6"/>
  <c r="I114" i="6"/>
  <c r="G114" i="6"/>
  <c r="S113" i="6"/>
  <c r="R113" i="6"/>
  <c r="Q113" i="6"/>
  <c r="G113" i="6"/>
  <c r="S112" i="6"/>
  <c r="R112" i="6"/>
  <c r="Q112" i="6"/>
  <c r="G112" i="6"/>
  <c r="S111" i="6"/>
  <c r="R111" i="6"/>
  <c r="Q111" i="6"/>
  <c r="S110" i="6"/>
  <c r="R110" i="6"/>
  <c r="Q110" i="6"/>
  <c r="I110" i="6"/>
  <c r="G110" i="6"/>
  <c r="S109" i="6"/>
  <c r="R109" i="6"/>
  <c r="Q109" i="6"/>
  <c r="G109" i="6"/>
  <c r="S108" i="6"/>
  <c r="R108" i="6"/>
  <c r="Q108" i="6"/>
  <c r="G108" i="6"/>
  <c r="S107" i="6"/>
  <c r="R107" i="6"/>
  <c r="Q107" i="6"/>
  <c r="G107" i="6"/>
  <c r="S106" i="6"/>
  <c r="R106" i="6"/>
  <c r="Q106" i="6"/>
  <c r="G106" i="6"/>
  <c r="S105" i="6"/>
  <c r="R105" i="6"/>
  <c r="Q105" i="6"/>
  <c r="I105" i="6"/>
  <c r="G105" i="6"/>
  <c r="S104" i="6"/>
  <c r="R104" i="6"/>
  <c r="Q104" i="6"/>
  <c r="G104" i="6"/>
  <c r="S103" i="6"/>
  <c r="R103" i="6"/>
  <c r="Q103" i="6"/>
  <c r="G103" i="6"/>
  <c r="S102" i="6"/>
  <c r="R102" i="6"/>
  <c r="Q102" i="6"/>
  <c r="G102" i="6"/>
  <c r="S101" i="6"/>
  <c r="R101" i="6"/>
  <c r="Q101" i="6"/>
  <c r="G101" i="6"/>
  <c r="S100" i="6"/>
  <c r="R100" i="6"/>
  <c r="Q100" i="6"/>
  <c r="G100" i="6"/>
  <c r="S99" i="6"/>
  <c r="R99" i="6"/>
  <c r="Q99" i="6"/>
  <c r="G99" i="6"/>
  <c r="S98" i="6"/>
  <c r="R98" i="6"/>
  <c r="Q98" i="6"/>
  <c r="G98" i="6"/>
  <c r="S97" i="6"/>
  <c r="R97" i="6"/>
  <c r="Q97" i="6"/>
  <c r="G97" i="6"/>
  <c r="S96" i="6"/>
  <c r="R96" i="6"/>
  <c r="Q96" i="6"/>
  <c r="G96" i="6"/>
  <c r="S95" i="6"/>
  <c r="R95" i="6"/>
  <c r="Q95" i="6"/>
  <c r="G95" i="6"/>
  <c r="S94" i="6"/>
  <c r="R94" i="6"/>
  <c r="Q94" i="6"/>
  <c r="G94" i="6"/>
  <c r="S93" i="6"/>
  <c r="R93" i="6"/>
  <c r="Q93" i="6"/>
  <c r="G93" i="6"/>
  <c r="S92" i="6"/>
  <c r="R92" i="6"/>
  <c r="Q92" i="6"/>
  <c r="G92" i="6"/>
  <c r="S91" i="6"/>
  <c r="R91" i="6"/>
  <c r="Q91" i="6"/>
  <c r="I91" i="6"/>
  <c r="G91" i="6"/>
  <c r="S90" i="6"/>
  <c r="R90" i="6"/>
  <c r="Q90" i="6"/>
  <c r="G90" i="6"/>
  <c r="S89" i="6"/>
  <c r="R89" i="6"/>
  <c r="Q89" i="6"/>
  <c r="G89" i="6"/>
  <c r="S88" i="6"/>
  <c r="R88" i="6"/>
  <c r="Q88" i="6"/>
  <c r="I88" i="6"/>
  <c r="G88" i="6"/>
  <c r="S87" i="6"/>
  <c r="R87" i="6"/>
  <c r="Q87" i="6"/>
  <c r="G87" i="6"/>
  <c r="S86" i="6"/>
  <c r="R86" i="6"/>
  <c r="Q86" i="6"/>
  <c r="G86" i="6"/>
  <c r="S85" i="6"/>
  <c r="R85" i="6"/>
  <c r="Q85" i="6"/>
  <c r="G85" i="6"/>
  <c r="S84" i="6"/>
  <c r="R84" i="6"/>
  <c r="Q84" i="6"/>
  <c r="G84" i="6"/>
  <c r="S83" i="6"/>
  <c r="R83" i="6"/>
  <c r="Q83" i="6"/>
  <c r="S82" i="6"/>
  <c r="R82" i="6"/>
  <c r="Q82" i="6"/>
  <c r="S81" i="6"/>
  <c r="R81" i="6"/>
  <c r="Q81" i="6"/>
  <c r="S80" i="6"/>
  <c r="R80" i="6"/>
  <c r="Q80" i="6"/>
  <c r="S79" i="6"/>
  <c r="R79" i="6"/>
  <c r="Q79" i="6"/>
  <c r="G79" i="6"/>
  <c r="S78" i="6"/>
  <c r="R78" i="6"/>
  <c r="Q78" i="6"/>
  <c r="I78" i="6"/>
  <c r="G78" i="6"/>
  <c r="S77" i="6"/>
  <c r="R77" i="6"/>
  <c r="Q77" i="6"/>
  <c r="G77" i="6"/>
  <c r="S76" i="6"/>
  <c r="R76" i="6"/>
  <c r="Q76" i="6"/>
  <c r="G76" i="6"/>
  <c r="S75" i="6"/>
  <c r="R75" i="6"/>
  <c r="Q75" i="6"/>
  <c r="G75" i="6"/>
  <c r="S74" i="6"/>
  <c r="R74" i="6"/>
  <c r="Q74" i="6"/>
  <c r="G74" i="6"/>
  <c r="S73" i="6"/>
  <c r="R73" i="6"/>
  <c r="Q73" i="6"/>
  <c r="G73" i="6"/>
  <c r="S72" i="6"/>
  <c r="R72" i="6"/>
  <c r="Q72" i="6"/>
  <c r="G72" i="6"/>
  <c r="S71" i="6"/>
  <c r="R71" i="6"/>
  <c r="Q71" i="6"/>
  <c r="G71" i="6"/>
  <c r="S70" i="6"/>
  <c r="R70" i="6"/>
  <c r="Q70" i="6"/>
  <c r="G70" i="6"/>
  <c r="S69" i="6"/>
  <c r="R69" i="6"/>
  <c r="Q69" i="6"/>
  <c r="G69" i="6"/>
  <c r="S68" i="6"/>
  <c r="R68" i="6"/>
  <c r="Q68" i="6"/>
  <c r="G68" i="6"/>
  <c r="S67" i="6"/>
  <c r="R67" i="6"/>
  <c r="Q67" i="6"/>
  <c r="I67" i="6"/>
  <c r="G67" i="6"/>
  <c r="S66" i="6"/>
  <c r="R66" i="6"/>
  <c r="Q66" i="6"/>
  <c r="I66" i="6"/>
  <c r="G66" i="6"/>
  <c r="S65" i="6"/>
  <c r="R65" i="6"/>
  <c r="Q65" i="6"/>
  <c r="I65" i="6"/>
  <c r="G65" i="6"/>
  <c r="S64" i="6"/>
  <c r="R64" i="6"/>
  <c r="Q64" i="6"/>
  <c r="G64" i="6"/>
  <c r="S63" i="6"/>
  <c r="R63" i="6"/>
  <c r="Q63" i="6"/>
  <c r="G63" i="6"/>
  <c r="S62" i="6"/>
  <c r="R62" i="6"/>
  <c r="Q62" i="6"/>
  <c r="I62" i="6"/>
  <c r="G62" i="6"/>
  <c r="S61" i="6"/>
  <c r="R61" i="6"/>
  <c r="Q61" i="6"/>
  <c r="G61" i="6"/>
  <c r="S60" i="6"/>
  <c r="R60" i="6"/>
  <c r="Q60" i="6"/>
  <c r="G60" i="6"/>
  <c r="S59" i="6"/>
  <c r="R59" i="6"/>
  <c r="Q59" i="6"/>
  <c r="G59" i="6"/>
  <c r="S58" i="6"/>
  <c r="R58" i="6"/>
  <c r="Q58" i="6"/>
  <c r="I58" i="6"/>
  <c r="G58" i="6"/>
  <c r="S57" i="6"/>
  <c r="R57" i="6"/>
  <c r="Q57" i="6"/>
  <c r="G57" i="6"/>
  <c r="S56" i="6"/>
  <c r="R56" i="6"/>
  <c r="Q56" i="6"/>
  <c r="G56" i="6"/>
  <c r="S55" i="6"/>
  <c r="R55" i="6"/>
  <c r="Q55" i="6"/>
  <c r="I55" i="6"/>
  <c r="G55" i="6"/>
  <c r="S54" i="6"/>
  <c r="R54" i="6"/>
  <c r="Q54" i="6"/>
  <c r="S53" i="6"/>
  <c r="R53" i="6"/>
  <c r="Q53" i="6"/>
  <c r="S52" i="6"/>
  <c r="R52" i="6"/>
  <c r="Q52" i="6"/>
  <c r="S51" i="6"/>
  <c r="R51" i="6"/>
  <c r="Q51" i="6"/>
  <c r="S50" i="6"/>
  <c r="R50" i="6"/>
  <c r="Q50" i="6"/>
  <c r="S49" i="6"/>
  <c r="R49" i="6"/>
  <c r="Q49" i="6"/>
  <c r="S48" i="6"/>
  <c r="R48" i="6"/>
  <c r="Q48" i="6"/>
  <c r="G48" i="6"/>
  <c r="S47" i="6"/>
  <c r="R47" i="6"/>
  <c r="Q47" i="6"/>
  <c r="G47" i="6"/>
  <c r="S46" i="6"/>
  <c r="R46" i="6"/>
  <c r="Q46" i="6"/>
  <c r="G46" i="6"/>
  <c r="S45" i="6"/>
  <c r="R45" i="6"/>
  <c r="Q45" i="6"/>
  <c r="G45" i="6"/>
  <c r="S44" i="6"/>
  <c r="R44" i="6"/>
  <c r="Q44" i="6"/>
  <c r="G44" i="6"/>
  <c r="S43" i="6"/>
  <c r="R43" i="6"/>
  <c r="Q43" i="6"/>
  <c r="I43" i="6"/>
  <c r="G43" i="6"/>
  <c r="S42" i="6"/>
  <c r="R42" i="6"/>
  <c r="Q42" i="6"/>
  <c r="G42" i="6"/>
  <c r="S41" i="6"/>
  <c r="R41" i="6"/>
  <c r="Q41" i="6"/>
  <c r="G41" i="6"/>
  <c r="S40" i="6"/>
  <c r="R40" i="6"/>
  <c r="Q40" i="6"/>
  <c r="G40" i="6"/>
  <c r="S39" i="6"/>
  <c r="R39" i="6"/>
  <c r="Q39" i="6"/>
  <c r="G39" i="6"/>
  <c r="S38" i="6"/>
  <c r="R38" i="6"/>
  <c r="Q38" i="6"/>
  <c r="G38" i="6"/>
  <c r="S37" i="6"/>
  <c r="R37" i="6"/>
  <c r="Q37" i="6"/>
  <c r="S36" i="6"/>
  <c r="R36" i="6"/>
  <c r="Q36" i="6"/>
  <c r="S35" i="6"/>
  <c r="R35" i="6"/>
  <c r="Q35" i="6"/>
  <c r="G35" i="6"/>
  <c r="S34" i="6"/>
  <c r="R34" i="6"/>
  <c r="Q34" i="6"/>
  <c r="G34" i="6"/>
  <c r="S33" i="6"/>
  <c r="R33" i="6"/>
  <c r="Q33" i="6"/>
  <c r="G33" i="6"/>
  <c r="S32" i="6"/>
  <c r="R32" i="6"/>
  <c r="Q32" i="6"/>
  <c r="G32" i="6"/>
  <c r="S31" i="6"/>
  <c r="R31" i="6"/>
  <c r="Q31" i="6"/>
  <c r="G31" i="6"/>
  <c r="S30" i="6"/>
  <c r="R30" i="6"/>
  <c r="Q30" i="6"/>
  <c r="S29" i="6"/>
  <c r="R29" i="6"/>
  <c r="Q29" i="6"/>
  <c r="G29" i="6"/>
  <c r="S28" i="6"/>
  <c r="R28" i="6"/>
  <c r="Q28" i="6"/>
  <c r="G28" i="6"/>
  <c r="S27" i="6"/>
  <c r="R27" i="6"/>
  <c r="Q27" i="6"/>
  <c r="G27" i="6"/>
  <c r="S26" i="6"/>
  <c r="R26" i="6"/>
  <c r="Q26" i="6"/>
  <c r="G26" i="6"/>
  <c r="S25" i="6"/>
  <c r="R25" i="6"/>
  <c r="Q25" i="6"/>
  <c r="G25" i="6"/>
  <c r="S24" i="6"/>
  <c r="R24" i="6"/>
  <c r="Q24" i="6"/>
  <c r="G24" i="6"/>
  <c r="S23" i="6"/>
  <c r="R23" i="6"/>
  <c r="Q23" i="6"/>
  <c r="G23" i="6"/>
  <c r="S22" i="6"/>
  <c r="R22" i="6"/>
  <c r="Q22" i="6"/>
  <c r="S21" i="6"/>
  <c r="R21" i="6"/>
  <c r="Q21" i="6"/>
  <c r="S20" i="6"/>
  <c r="R20" i="6"/>
  <c r="Q20" i="6"/>
  <c r="S19" i="6"/>
  <c r="R19" i="6"/>
  <c r="Q19" i="6"/>
  <c r="G19" i="6"/>
  <c r="S18" i="6"/>
  <c r="R18" i="6"/>
  <c r="Q18" i="6"/>
  <c r="G18" i="6"/>
  <c r="S17" i="6"/>
  <c r="R17" i="6"/>
  <c r="Q17" i="6"/>
  <c r="G17" i="6"/>
  <c r="S16" i="6"/>
  <c r="R16" i="6"/>
  <c r="Q16" i="6"/>
  <c r="G16" i="6"/>
  <c r="S15" i="6"/>
  <c r="R15" i="6"/>
  <c r="Q15" i="6"/>
  <c r="G15" i="6"/>
  <c r="S14" i="6"/>
  <c r="R14" i="6"/>
  <c r="Q14" i="6"/>
  <c r="G14" i="6"/>
  <c r="S13" i="6"/>
  <c r="R13" i="6"/>
  <c r="Q13" i="6"/>
  <c r="G13" i="6"/>
  <c r="S12" i="6"/>
  <c r="R12" i="6"/>
  <c r="Q12" i="6"/>
  <c r="G12" i="6"/>
  <c r="S11" i="6"/>
  <c r="R11" i="6"/>
  <c r="Q11" i="6"/>
  <c r="G11" i="6"/>
  <c r="S10" i="6"/>
  <c r="R10" i="6"/>
  <c r="Q10" i="6"/>
  <c r="G10" i="6"/>
  <c r="S9" i="6"/>
  <c r="R9" i="6"/>
  <c r="Q9" i="6"/>
  <c r="S8" i="6"/>
  <c r="R8" i="6"/>
  <c r="Q8" i="6"/>
  <c r="G8" i="6"/>
  <c r="S7" i="6"/>
  <c r="R7" i="6"/>
  <c r="Q7" i="6"/>
  <c r="G7" i="6"/>
  <c r="P536" i="8"/>
  <c r="O536" i="8"/>
  <c r="N536" i="8"/>
  <c r="M536" i="8"/>
  <c r="L536" i="8"/>
  <c r="K536" i="8"/>
  <c r="J536" i="8"/>
  <c r="I536" i="8"/>
  <c r="H536" i="8"/>
  <c r="R536" i="8" s="1"/>
  <c r="S532" i="8"/>
  <c r="R532" i="8"/>
  <c r="Q532" i="8"/>
  <c r="G532" i="8"/>
  <c r="S531" i="8"/>
  <c r="R531" i="8"/>
  <c r="Q531" i="8"/>
  <c r="I531" i="8"/>
  <c r="G531" i="8"/>
  <c r="S530" i="8"/>
  <c r="R530" i="8"/>
  <c r="Q530" i="8"/>
  <c r="I530" i="8"/>
  <c r="G530" i="8"/>
  <c r="S529" i="8"/>
  <c r="R529" i="8"/>
  <c r="Q529" i="8"/>
  <c r="S528" i="8"/>
  <c r="R528" i="8"/>
  <c r="Q528" i="8"/>
  <c r="S527" i="8"/>
  <c r="R527" i="8"/>
  <c r="Q527" i="8"/>
  <c r="S526" i="8"/>
  <c r="R526" i="8"/>
  <c r="Q526" i="8"/>
  <c r="G526" i="8"/>
  <c r="S525" i="8"/>
  <c r="R525" i="8"/>
  <c r="Q525" i="8"/>
  <c r="G525" i="8"/>
  <c r="S524" i="8"/>
  <c r="R524" i="8"/>
  <c r="Q524" i="8"/>
  <c r="G524" i="8"/>
  <c r="S523" i="8"/>
  <c r="R523" i="8"/>
  <c r="Q523" i="8"/>
  <c r="S522" i="8"/>
  <c r="R522" i="8"/>
  <c r="Q522" i="8"/>
  <c r="G522" i="8"/>
  <c r="S521" i="8"/>
  <c r="R521" i="8"/>
  <c r="Q521" i="8"/>
  <c r="S520" i="8"/>
  <c r="R520" i="8"/>
  <c r="Q520" i="8"/>
  <c r="S519" i="8"/>
  <c r="R519" i="8"/>
  <c r="Q519" i="8"/>
  <c r="S518" i="8"/>
  <c r="R518" i="8"/>
  <c r="Q518" i="8"/>
  <c r="S517" i="8"/>
  <c r="R517" i="8"/>
  <c r="Q517" i="8"/>
  <c r="S516" i="8"/>
  <c r="R516" i="8"/>
  <c r="Q516" i="8"/>
  <c r="G516" i="8"/>
  <c r="S515" i="8"/>
  <c r="R515" i="8"/>
  <c r="Q515" i="8"/>
  <c r="S514" i="8"/>
  <c r="R514" i="8"/>
  <c r="Q514" i="8"/>
  <c r="G514" i="8"/>
  <c r="S513" i="8"/>
  <c r="R513" i="8"/>
  <c r="Q513" i="8"/>
  <c r="S512" i="8"/>
  <c r="R512" i="8"/>
  <c r="Q512" i="8"/>
  <c r="S511" i="8"/>
  <c r="R511" i="8"/>
  <c r="Q511" i="8"/>
  <c r="S510" i="8"/>
  <c r="R510" i="8"/>
  <c r="Q510" i="8"/>
  <c r="S509" i="8"/>
  <c r="R509" i="8"/>
  <c r="Q509" i="8"/>
  <c r="I509" i="8"/>
  <c r="G509" i="8"/>
  <c r="S508" i="8"/>
  <c r="R508" i="8"/>
  <c r="Q508" i="8"/>
  <c r="G508" i="8"/>
  <c r="S507" i="8"/>
  <c r="R507" i="8"/>
  <c r="Q507" i="8"/>
  <c r="S506" i="8"/>
  <c r="R506" i="8"/>
  <c r="Q506" i="8"/>
  <c r="S505" i="8"/>
  <c r="R505" i="8"/>
  <c r="Q505" i="8"/>
  <c r="S504" i="8"/>
  <c r="R504" i="8"/>
  <c r="Q504" i="8"/>
  <c r="G504" i="8"/>
  <c r="S503" i="8"/>
  <c r="R503" i="8"/>
  <c r="Q503" i="8"/>
  <c r="G503" i="8"/>
  <c r="S502" i="8"/>
  <c r="R502" i="8"/>
  <c r="Q502" i="8"/>
  <c r="G502" i="8"/>
  <c r="S501" i="8"/>
  <c r="R501" i="8"/>
  <c r="Q501" i="8"/>
  <c r="G501" i="8"/>
  <c r="S500" i="8"/>
  <c r="R500" i="8"/>
  <c r="Q500" i="8"/>
  <c r="G500" i="8"/>
  <c r="S499" i="8"/>
  <c r="R499" i="8"/>
  <c r="Q499" i="8"/>
  <c r="G499" i="8"/>
  <c r="S498" i="8"/>
  <c r="R498" i="8"/>
  <c r="Q498" i="8"/>
  <c r="G498" i="8"/>
  <c r="S497" i="8"/>
  <c r="R497" i="8"/>
  <c r="Q497" i="8"/>
  <c r="G497" i="8"/>
  <c r="S496" i="8"/>
  <c r="R496" i="8"/>
  <c r="Q496" i="8"/>
  <c r="G496" i="8"/>
  <c r="S495" i="8"/>
  <c r="R495" i="8"/>
  <c r="Q495" i="8"/>
  <c r="G495" i="8"/>
  <c r="S494" i="8"/>
  <c r="R494" i="8"/>
  <c r="Q494" i="8"/>
  <c r="G494" i="8"/>
  <c r="S493" i="8"/>
  <c r="R493" i="8"/>
  <c r="Q493" i="8"/>
  <c r="G493" i="8"/>
  <c r="S492" i="8"/>
  <c r="R492" i="8"/>
  <c r="Q492" i="8"/>
  <c r="G492" i="8"/>
  <c r="S491" i="8"/>
  <c r="R491" i="8"/>
  <c r="Q491" i="8"/>
  <c r="S490" i="8"/>
  <c r="R490" i="8"/>
  <c r="Q490" i="8"/>
  <c r="S489" i="8"/>
  <c r="R489" i="8"/>
  <c r="Q489" i="8"/>
  <c r="S488" i="8"/>
  <c r="R488" i="8"/>
  <c r="Q488" i="8"/>
  <c r="S487" i="8"/>
  <c r="R487" i="8"/>
  <c r="Q487" i="8"/>
  <c r="S486" i="8"/>
  <c r="R486" i="8"/>
  <c r="Q486" i="8"/>
  <c r="G486" i="8"/>
  <c r="S485" i="8"/>
  <c r="R485" i="8"/>
  <c r="Q485" i="8"/>
  <c r="G485" i="8"/>
  <c r="S483" i="8"/>
  <c r="R483" i="8"/>
  <c r="Q483" i="8"/>
  <c r="S482" i="8"/>
  <c r="R482" i="8"/>
  <c r="Q482" i="8"/>
  <c r="S481" i="8"/>
  <c r="R481" i="8"/>
  <c r="Q481" i="8"/>
  <c r="I481" i="8"/>
  <c r="G481" i="8"/>
  <c r="S480" i="8"/>
  <c r="R480" i="8"/>
  <c r="Q480" i="8"/>
  <c r="G480" i="8"/>
  <c r="S479" i="8"/>
  <c r="R479" i="8"/>
  <c r="Q479" i="8"/>
  <c r="I479" i="8"/>
  <c r="G479" i="8"/>
  <c r="S478" i="8"/>
  <c r="R478" i="8"/>
  <c r="Q478" i="8"/>
  <c r="G478" i="8"/>
  <c r="S477" i="8"/>
  <c r="R477" i="8"/>
  <c r="Q477" i="8"/>
  <c r="G477" i="8"/>
  <c r="S476" i="8"/>
  <c r="R476" i="8"/>
  <c r="Q476" i="8"/>
  <c r="G476" i="8"/>
  <c r="S475" i="8"/>
  <c r="R475" i="8"/>
  <c r="Q475" i="8"/>
  <c r="I475" i="8"/>
  <c r="G475" i="8"/>
  <c r="S474" i="8"/>
  <c r="R474" i="8"/>
  <c r="Q474" i="8"/>
  <c r="G474" i="8"/>
  <c r="S473" i="8"/>
  <c r="R473" i="8"/>
  <c r="Q473" i="8"/>
  <c r="G473" i="8"/>
  <c r="S472" i="8"/>
  <c r="R472" i="8"/>
  <c r="Q472" i="8"/>
  <c r="G472" i="8"/>
  <c r="S471" i="8"/>
  <c r="R471" i="8"/>
  <c r="Q471" i="8"/>
  <c r="G471" i="8"/>
  <c r="S470" i="8"/>
  <c r="R470" i="8"/>
  <c r="Q470" i="8"/>
  <c r="G470" i="8"/>
  <c r="S469" i="8"/>
  <c r="R469" i="8"/>
  <c r="Q469" i="8"/>
  <c r="G469" i="8"/>
  <c r="S468" i="8"/>
  <c r="R468" i="8"/>
  <c r="Q468" i="8"/>
  <c r="I468" i="8"/>
  <c r="G468" i="8"/>
  <c r="S467" i="8"/>
  <c r="R467" i="8"/>
  <c r="Q467" i="8"/>
  <c r="G467" i="8"/>
  <c r="S466" i="8"/>
  <c r="R466" i="8"/>
  <c r="Q466" i="8"/>
  <c r="G466" i="8"/>
  <c r="S465" i="8"/>
  <c r="R465" i="8"/>
  <c r="Q465" i="8"/>
  <c r="S464" i="8"/>
  <c r="R464" i="8"/>
  <c r="Q464" i="8"/>
  <c r="G464" i="8"/>
  <c r="S463" i="8"/>
  <c r="R463" i="8"/>
  <c r="Q463" i="8"/>
  <c r="G463" i="8"/>
  <c r="S462" i="8"/>
  <c r="R462" i="8"/>
  <c r="Q462" i="8"/>
  <c r="G462" i="8"/>
  <c r="S461" i="8"/>
  <c r="R461" i="8"/>
  <c r="Q461" i="8"/>
  <c r="G461" i="8"/>
  <c r="S460" i="8"/>
  <c r="R460" i="8"/>
  <c r="Q460" i="8"/>
  <c r="G460" i="8"/>
  <c r="S459" i="8"/>
  <c r="R459" i="8"/>
  <c r="Q459" i="8"/>
  <c r="G459" i="8"/>
  <c r="S458" i="8"/>
  <c r="R458" i="8"/>
  <c r="Q458" i="8"/>
  <c r="G458" i="8"/>
  <c r="S457" i="8"/>
  <c r="R457" i="8"/>
  <c r="Q457" i="8"/>
  <c r="G457" i="8"/>
  <c r="S456" i="8"/>
  <c r="R456" i="8"/>
  <c r="Q456" i="8"/>
  <c r="G456" i="8"/>
  <c r="S455" i="8"/>
  <c r="R455" i="8"/>
  <c r="Q455" i="8"/>
  <c r="G455" i="8"/>
  <c r="S454" i="8"/>
  <c r="R454" i="8"/>
  <c r="Q454" i="8"/>
  <c r="G454" i="8"/>
  <c r="S453" i="8"/>
  <c r="R453" i="8"/>
  <c r="Q453" i="8"/>
  <c r="G453" i="8"/>
  <c r="S452" i="8"/>
  <c r="R452" i="8"/>
  <c r="Q452" i="8"/>
  <c r="G452" i="8"/>
  <c r="S451" i="8"/>
  <c r="R451" i="8"/>
  <c r="Q451" i="8"/>
  <c r="G451" i="8"/>
  <c r="S450" i="8"/>
  <c r="R450" i="8"/>
  <c r="Q450" i="8"/>
  <c r="G450" i="8"/>
  <c r="S449" i="8"/>
  <c r="R449" i="8"/>
  <c r="Q449" i="8"/>
  <c r="G449" i="8"/>
  <c r="S448" i="8"/>
  <c r="R448" i="8"/>
  <c r="Q448" i="8"/>
  <c r="G448" i="8"/>
  <c r="S447" i="8"/>
  <c r="R447" i="8"/>
  <c r="Q447" i="8"/>
  <c r="I447" i="8"/>
  <c r="G447" i="8"/>
  <c r="S446" i="8"/>
  <c r="R446" i="8"/>
  <c r="Q446" i="8"/>
  <c r="G446" i="8"/>
  <c r="S445" i="8"/>
  <c r="R445" i="8"/>
  <c r="Q445" i="8"/>
  <c r="G445" i="8"/>
  <c r="S444" i="8"/>
  <c r="R444" i="8"/>
  <c r="Q444" i="8"/>
  <c r="G444" i="8"/>
  <c r="S443" i="8"/>
  <c r="R443" i="8"/>
  <c r="Q443" i="8"/>
  <c r="G443" i="8"/>
  <c r="S442" i="8"/>
  <c r="R442" i="8"/>
  <c r="Q442" i="8"/>
  <c r="I442" i="8"/>
  <c r="G442" i="8"/>
  <c r="S441" i="8"/>
  <c r="R441" i="8"/>
  <c r="Q441" i="8"/>
  <c r="I441" i="8"/>
  <c r="G441" i="8"/>
  <c r="S440" i="8"/>
  <c r="R440" i="8"/>
  <c r="Q440" i="8"/>
  <c r="G440" i="8"/>
  <c r="S439" i="8"/>
  <c r="R439" i="8"/>
  <c r="Q439" i="8"/>
  <c r="G439" i="8"/>
  <c r="S438" i="8"/>
  <c r="R438" i="8"/>
  <c r="Q438" i="8"/>
  <c r="I438" i="8"/>
  <c r="G438" i="8"/>
  <c r="S437" i="8"/>
  <c r="R437" i="8"/>
  <c r="Q437" i="8"/>
  <c r="S436" i="8"/>
  <c r="R436" i="8"/>
  <c r="Q436" i="8"/>
  <c r="G436" i="8"/>
  <c r="S435" i="8"/>
  <c r="R435" i="8"/>
  <c r="Q435" i="8"/>
  <c r="G435" i="8"/>
  <c r="S434" i="8"/>
  <c r="R434" i="8"/>
  <c r="Q434" i="8"/>
  <c r="G434" i="8"/>
  <c r="S433" i="8"/>
  <c r="R433" i="8"/>
  <c r="Q433" i="8"/>
  <c r="G433" i="8"/>
  <c r="S432" i="8"/>
  <c r="R432" i="8"/>
  <c r="Q432" i="8"/>
  <c r="G432" i="8"/>
  <c r="S431" i="8"/>
  <c r="R431" i="8"/>
  <c r="Q431" i="8"/>
  <c r="G431" i="8"/>
  <c r="R430" i="8"/>
  <c r="Q430" i="8"/>
  <c r="S430" i="8" s="1"/>
  <c r="I430" i="8"/>
  <c r="S429" i="8"/>
  <c r="R429" i="8"/>
  <c r="Q429" i="8"/>
  <c r="G429" i="8"/>
  <c r="S428" i="8"/>
  <c r="R428" i="8"/>
  <c r="Q428" i="8"/>
  <c r="G428" i="8"/>
  <c r="S427" i="8"/>
  <c r="R427" i="8"/>
  <c r="Q427" i="8"/>
  <c r="G427" i="8"/>
  <c r="S426" i="8"/>
  <c r="R426" i="8"/>
  <c r="Q426" i="8"/>
  <c r="G426" i="8"/>
  <c r="S425" i="8"/>
  <c r="R425" i="8"/>
  <c r="Q425" i="8"/>
  <c r="G425" i="8"/>
  <c r="S424" i="8"/>
  <c r="R424" i="8"/>
  <c r="Q424" i="8"/>
  <c r="G424" i="8"/>
  <c r="S423" i="8"/>
  <c r="R423" i="8"/>
  <c r="Q423" i="8"/>
  <c r="G423" i="8"/>
  <c r="S422" i="8"/>
  <c r="R422" i="8"/>
  <c r="Q422" i="8"/>
  <c r="G422" i="8"/>
  <c r="S421" i="8"/>
  <c r="R421" i="8"/>
  <c r="Q421" i="8"/>
  <c r="G421" i="8"/>
  <c r="S420" i="8"/>
  <c r="R420" i="8"/>
  <c r="Q420" i="8"/>
  <c r="G420" i="8"/>
  <c r="S419" i="8"/>
  <c r="R419" i="8"/>
  <c r="Q419" i="8"/>
  <c r="G419" i="8"/>
  <c r="S418" i="8"/>
  <c r="R418" i="8"/>
  <c r="Q418" i="8"/>
  <c r="G418" i="8"/>
  <c r="S417" i="8"/>
  <c r="R417" i="8"/>
  <c r="Q417" i="8"/>
  <c r="G417" i="8"/>
  <c r="S416" i="8"/>
  <c r="R416" i="8"/>
  <c r="Q416" i="8"/>
  <c r="G416" i="8"/>
  <c r="S415" i="8"/>
  <c r="R415" i="8"/>
  <c r="Q415" i="8"/>
  <c r="G415" i="8"/>
  <c r="S414" i="8"/>
  <c r="R414" i="8"/>
  <c r="Q414" i="8"/>
  <c r="G414" i="8"/>
  <c r="S413" i="8"/>
  <c r="R413" i="8"/>
  <c r="Q413" i="8"/>
  <c r="G413" i="8"/>
  <c r="S412" i="8"/>
  <c r="R412" i="8"/>
  <c r="Q412" i="8"/>
  <c r="G412" i="8"/>
  <c r="S411" i="8"/>
  <c r="R411" i="8"/>
  <c r="Q411" i="8"/>
  <c r="G411" i="8"/>
  <c r="S410" i="8"/>
  <c r="R410" i="8"/>
  <c r="Q410" i="8"/>
  <c r="G410" i="8"/>
  <c r="S409" i="8"/>
  <c r="R409" i="8"/>
  <c r="Q409" i="8"/>
  <c r="G409" i="8"/>
  <c r="S408" i="8"/>
  <c r="R408" i="8"/>
  <c r="Q408" i="8"/>
  <c r="G408" i="8"/>
  <c r="S407" i="8"/>
  <c r="R407" i="8"/>
  <c r="Q407" i="8"/>
  <c r="G407" i="8"/>
  <c r="S406" i="8"/>
  <c r="R406" i="8"/>
  <c r="Q406" i="8"/>
  <c r="G406" i="8"/>
  <c r="S405" i="8"/>
  <c r="R405" i="8"/>
  <c r="Q405" i="8"/>
  <c r="G405" i="8"/>
  <c r="S404" i="8"/>
  <c r="R404" i="8"/>
  <c r="Q404" i="8"/>
  <c r="G404" i="8"/>
  <c r="S403" i="8"/>
  <c r="R403" i="8"/>
  <c r="Q403" i="8"/>
  <c r="G403" i="8"/>
  <c r="S402" i="8"/>
  <c r="R402" i="8"/>
  <c r="Q402" i="8"/>
  <c r="I402" i="8"/>
  <c r="G402" i="8"/>
  <c r="S401" i="8"/>
  <c r="R401" i="8"/>
  <c r="Q401" i="8"/>
  <c r="S400" i="8"/>
  <c r="R400" i="8"/>
  <c r="Q400" i="8"/>
  <c r="G400" i="8"/>
  <c r="S399" i="8"/>
  <c r="R399" i="8"/>
  <c r="Q399" i="8"/>
  <c r="G399" i="8"/>
  <c r="S398" i="8"/>
  <c r="R398" i="8"/>
  <c r="Q398" i="8"/>
  <c r="S397" i="8"/>
  <c r="R397" i="8"/>
  <c r="Q397" i="8"/>
  <c r="G397" i="8"/>
  <c r="S396" i="8"/>
  <c r="R396" i="8"/>
  <c r="Q396" i="8"/>
  <c r="G396" i="8"/>
  <c r="S395" i="8"/>
  <c r="R395" i="8"/>
  <c r="Q395" i="8"/>
  <c r="G395" i="8"/>
  <c r="R394" i="8"/>
  <c r="Q394" i="8"/>
  <c r="S394" i="8" s="1"/>
  <c r="S393" i="8"/>
  <c r="R393" i="8"/>
  <c r="Q393" i="8"/>
  <c r="G393" i="8"/>
  <c r="S392" i="8"/>
  <c r="R392" i="8"/>
  <c r="Q392" i="8"/>
  <c r="G392" i="8"/>
  <c r="S391" i="8"/>
  <c r="R391" i="8"/>
  <c r="Q391" i="8"/>
  <c r="G391" i="8"/>
  <c r="S390" i="8"/>
  <c r="R390" i="8"/>
  <c r="Q390" i="8"/>
  <c r="G390" i="8"/>
  <c r="S389" i="8"/>
  <c r="R389" i="8"/>
  <c r="Q389" i="8"/>
  <c r="S388" i="8"/>
  <c r="R388" i="8"/>
  <c r="Q388" i="8"/>
  <c r="S387" i="8"/>
  <c r="R387" i="8"/>
  <c r="Q387" i="8"/>
  <c r="S386" i="8"/>
  <c r="R386" i="8"/>
  <c r="Q386" i="8"/>
  <c r="G386" i="8"/>
  <c r="S385" i="8"/>
  <c r="R385" i="8"/>
  <c r="Q385" i="8"/>
  <c r="G385" i="8"/>
  <c r="S384" i="8"/>
  <c r="R384" i="8"/>
  <c r="Q384" i="8"/>
  <c r="I384" i="8"/>
  <c r="G384" i="8"/>
  <c r="S383" i="8"/>
  <c r="R383" i="8"/>
  <c r="Q383" i="8"/>
  <c r="G383" i="8"/>
  <c r="S382" i="8"/>
  <c r="R382" i="8"/>
  <c r="Q382" i="8"/>
  <c r="G382" i="8"/>
  <c r="S381" i="8"/>
  <c r="R381" i="8"/>
  <c r="Q381" i="8"/>
  <c r="S380" i="8"/>
  <c r="R380" i="8"/>
  <c r="Q380" i="8"/>
  <c r="S379" i="8"/>
  <c r="R379" i="8"/>
  <c r="Q379" i="8"/>
  <c r="I379" i="8"/>
  <c r="G379" i="8"/>
  <c r="S378" i="8"/>
  <c r="R378" i="8"/>
  <c r="Q378" i="8"/>
  <c r="S377" i="8"/>
  <c r="R377" i="8"/>
  <c r="Q377" i="8"/>
  <c r="G377" i="8"/>
  <c r="S376" i="8"/>
  <c r="R376" i="8"/>
  <c r="Q376" i="8"/>
  <c r="G376" i="8"/>
  <c r="S375" i="8"/>
  <c r="R375" i="8"/>
  <c r="Q375" i="8"/>
  <c r="S374" i="8"/>
  <c r="R374" i="8"/>
  <c r="Q374" i="8"/>
  <c r="I374" i="8"/>
  <c r="G374" i="8"/>
  <c r="S373" i="8"/>
  <c r="R373" i="8"/>
  <c r="Q373" i="8"/>
  <c r="G373" i="8"/>
  <c r="S372" i="8"/>
  <c r="R372" i="8"/>
  <c r="Q372" i="8"/>
  <c r="I372" i="8"/>
  <c r="G372" i="8"/>
  <c r="S371" i="8"/>
  <c r="R371" i="8"/>
  <c r="Q371" i="8"/>
  <c r="S370" i="8"/>
  <c r="R370" i="8"/>
  <c r="Q370" i="8"/>
  <c r="S369" i="8"/>
  <c r="R369" i="8"/>
  <c r="Q369" i="8"/>
  <c r="S368" i="8"/>
  <c r="R368" i="8"/>
  <c r="Q368" i="8"/>
  <c r="S367" i="8"/>
  <c r="R367" i="8"/>
  <c r="Q367" i="8"/>
  <c r="S366" i="8"/>
  <c r="R366" i="8"/>
  <c r="Q366" i="8"/>
  <c r="S365" i="8"/>
  <c r="R365" i="8"/>
  <c r="Q365" i="8"/>
  <c r="S364" i="8"/>
  <c r="R364" i="8"/>
  <c r="Q364" i="8"/>
  <c r="I364" i="8"/>
  <c r="G364" i="8"/>
  <c r="S363" i="8"/>
  <c r="R363" i="8"/>
  <c r="Q363" i="8"/>
  <c r="G363" i="8"/>
  <c r="S362" i="8"/>
  <c r="R362" i="8"/>
  <c r="Q362" i="8"/>
  <c r="I362" i="8"/>
  <c r="G362" i="8"/>
  <c r="S361" i="8"/>
  <c r="R361" i="8"/>
  <c r="Q361" i="8"/>
  <c r="G361" i="8"/>
  <c r="S360" i="8"/>
  <c r="R360" i="8"/>
  <c r="Q360" i="8"/>
  <c r="G360" i="8"/>
  <c r="S359" i="8"/>
  <c r="R359" i="8"/>
  <c r="Q359" i="8"/>
  <c r="G359" i="8"/>
  <c r="S358" i="8"/>
  <c r="R358" i="8"/>
  <c r="Q358" i="8"/>
  <c r="S357" i="8"/>
  <c r="R357" i="8"/>
  <c r="Q357" i="8"/>
  <c r="G357" i="8"/>
  <c r="S356" i="8"/>
  <c r="R356" i="8"/>
  <c r="Q356" i="8"/>
  <c r="S355" i="8"/>
  <c r="R355" i="8"/>
  <c r="Q355" i="8"/>
  <c r="G355" i="8"/>
  <c r="S354" i="8"/>
  <c r="R354" i="8"/>
  <c r="Q354" i="8"/>
  <c r="G354" i="8"/>
  <c r="S353" i="8"/>
  <c r="R353" i="8"/>
  <c r="Q353" i="8"/>
  <c r="G353" i="8"/>
  <c r="S352" i="8"/>
  <c r="R352" i="8"/>
  <c r="Q352" i="8"/>
  <c r="S351" i="8"/>
  <c r="R351" i="8"/>
  <c r="Q351" i="8"/>
  <c r="S350" i="8"/>
  <c r="R350" i="8"/>
  <c r="Q350" i="8"/>
  <c r="S349" i="8"/>
  <c r="R349" i="8"/>
  <c r="Q349" i="8"/>
  <c r="S348" i="8"/>
  <c r="R348" i="8"/>
  <c r="Q348" i="8"/>
  <c r="G347" i="8"/>
  <c r="S346" i="8"/>
  <c r="R346" i="8"/>
  <c r="Q346" i="8"/>
  <c r="G346" i="8"/>
  <c r="S345" i="8"/>
  <c r="R345" i="8"/>
  <c r="Q345" i="8"/>
  <c r="G345" i="8"/>
  <c r="S344" i="8"/>
  <c r="R344" i="8"/>
  <c r="Q344" i="8"/>
  <c r="G344" i="8"/>
  <c r="S343" i="8"/>
  <c r="R343" i="8"/>
  <c r="Q343" i="8"/>
  <c r="G343" i="8"/>
  <c r="S342" i="8"/>
  <c r="R342" i="8"/>
  <c r="Q342" i="8"/>
  <c r="I342" i="8"/>
  <c r="G342" i="8"/>
  <c r="S341" i="8"/>
  <c r="R341" i="8"/>
  <c r="Q341" i="8"/>
  <c r="G341" i="8"/>
  <c r="S340" i="8"/>
  <c r="R340" i="8"/>
  <c r="Q340" i="8"/>
  <c r="G340" i="8"/>
  <c r="S339" i="8"/>
  <c r="R339" i="8"/>
  <c r="Q339" i="8"/>
  <c r="G339" i="8"/>
  <c r="S338" i="8"/>
  <c r="R338" i="8"/>
  <c r="Q338" i="8"/>
  <c r="S337" i="8"/>
  <c r="R337" i="8"/>
  <c r="Q337" i="8"/>
  <c r="S336" i="8"/>
  <c r="R336" i="8"/>
  <c r="Q336" i="8"/>
  <c r="I336" i="8"/>
  <c r="G336" i="8"/>
  <c r="S335" i="8"/>
  <c r="R335" i="8"/>
  <c r="Q335" i="8"/>
  <c r="G335" i="8"/>
  <c r="S334" i="8"/>
  <c r="R334" i="8"/>
  <c r="Q334" i="8"/>
  <c r="S333" i="8"/>
  <c r="R333" i="8"/>
  <c r="Q333" i="8"/>
  <c r="S332" i="8"/>
  <c r="R332" i="8"/>
  <c r="Q332" i="8"/>
  <c r="G332" i="8"/>
  <c r="S331" i="8"/>
  <c r="R331" i="8"/>
  <c r="Q331" i="8"/>
  <c r="S330" i="8"/>
  <c r="R330" i="8"/>
  <c r="Q330" i="8"/>
  <c r="G330" i="8"/>
  <c r="S329" i="8"/>
  <c r="R329" i="8"/>
  <c r="Q329" i="8"/>
  <c r="S328" i="8"/>
  <c r="R328" i="8"/>
  <c r="Q328" i="8"/>
  <c r="S327" i="8"/>
  <c r="R327" i="8"/>
  <c r="Q327" i="8"/>
  <c r="G327" i="8"/>
  <c r="S326" i="8"/>
  <c r="R326" i="8"/>
  <c r="Q326" i="8"/>
  <c r="G326" i="8"/>
  <c r="S325" i="8"/>
  <c r="R325" i="8"/>
  <c r="Q325" i="8"/>
  <c r="S324" i="8"/>
  <c r="R324" i="8"/>
  <c r="Q324" i="8"/>
  <c r="S323" i="8"/>
  <c r="R323" i="8"/>
  <c r="Q323" i="8"/>
  <c r="S322" i="8"/>
  <c r="R322" i="8"/>
  <c r="Q322" i="8"/>
  <c r="I322" i="8"/>
  <c r="G322" i="8"/>
  <c r="S321" i="8"/>
  <c r="R321" i="8"/>
  <c r="Q321" i="8"/>
  <c r="S320" i="8"/>
  <c r="R320" i="8"/>
  <c r="Q320" i="8"/>
  <c r="G320" i="8"/>
  <c r="R319" i="8"/>
  <c r="Q319" i="8"/>
  <c r="S319" i="8" s="1"/>
  <c r="G319" i="8"/>
  <c r="S318" i="8"/>
  <c r="R318" i="8"/>
  <c r="Q318" i="8"/>
  <c r="S317" i="8"/>
  <c r="R317" i="8"/>
  <c r="Q317" i="8"/>
  <c r="G317" i="8"/>
  <c r="S316" i="8"/>
  <c r="R316" i="8"/>
  <c r="Q316" i="8"/>
  <c r="S315" i="8"/>
  <c r="R315" i="8"/>
  <c r="Q315" i="8"/>
  <c r="S314" i="8"/>
  <c r="R314" i="8"/>
  <c r="Q314" i="8"/>
  <c r="S313" i="8"/>
  <c r="R313" i="8"/>
  <c r="Q313" i="8"/>
  <c r="S312" i="8"/>
  <c r="R312" i="8"/>
  <c r="Q312" i="8"/>
  <c r="S311" i="8"/>
  <c r="R311" i="8"/>
  <c r="Q311" i="8"/>
  <c r="S310" i="8"/>
  <c r="R310" i="8"/>
  <c r="Q310" i="8"/>
  <c r="S309" i="8"/>
  <c r="R309" i="8"/>
  <c r="Q309" i="8"/>
  <c r="G309" i="8"/>
  <c r="S308" i="8"/>
  <c r="R308" i="8"/>
  <c r="Q308" i="8"/>
  <c r="G308" i="8"/>
  <c r="S307" i="8"/>
  <c r="R307" i="8"/>
  <c r="Q307" i="8"/>
  <c r="S306" i="8"/>
  <c r="R306" i="8"/>
  <c r="Q306" i="8"/>
  <c r="R305" i="8"/>
  <c r="Q305" i="8"/>
  <c r="S305" i="8" s="1"/>
  <c r="I305" i="8"/>
  <c r="S304" i="8"/>
  <c r="R304" i="8"/>
  <c r="Q304" i="8"/>
  <c r="S303" i="8"/>
  <c r="R303" i="8"/>
  <c r="Q303" i="8"/>
  <c r="I303" i="8"/>
  <c r="G303" i="8"/>
  <c r="S302" i="8"/>
  <c r="R302" i="8"/>
  <c r="Q302" i="8"/>
  <c r="S301" i="8"/>
  <c r="R301" i="8"/>
  <c r="Q301" i="8"/>
  <c r="S300" i="8"/>
  <c r="R300" i="8"/>
  <c r="Q300" i="8"/>
  <c r="G300" i="8"/>
  <c r="S299" i="8"/>
  <c r="R299" i="8"/>
  <c r="Q299" i="8"/>
  <c r="S298" i="8"/>
  <c r="R298" i="8"/>
  <c r="Q298" i="8"/>
  <c r="S297" i="8"/>
  <c r="R297" i="8"/>
  <c r="Q297" i="8"/>
  <c r="S296" i="8"/>
  <c r="R296" i="8"/>
  <c r="Q296" i="8"/>
  <c r="S295" i="8"/>
  <c r="R295" i="8"/>
  <c r="Q295" i="8"/>
  <c r="S294" i="8"/>
  <c r="R294" i="8"/>
  <c r="Q294" i="8"/>
  <c r="S293" i="8"/>
  <c r="R293" i="8"/>
  <c r="Q293" i="8"/>
  <c r="S292" i="8"/>
  <c r="R292" i="8"/>
  <c r="Q292" i="8"/>
  <c r="S291" i="8"/>
  <c r="R291" i="8"/>
  <c r="Q291" i="8"/>
  <c r="G291" i="8"/>
  <c r="S290" i="8"/>
  <c r="R290" i="8"/>
  <c r="Q290" i="8"/>
  <c r="G290" i="8"/>
  <c r="S289" i="8"/>
  <c r="R289" i="8"/>
  <c r="Q289" i="8"/>
  <c r="G289" i="8"/>
  <c r="S288" i="8"/>
  <c r="R288" i="8"/>
  <c r="Q288" i="8"/>
  <c r="S287" i="8"/>
  <c r="R287" i="8"/>
  <c r="Q287" i="8"/>
  <c r="G287" i="8"/>
  <c r="S286" i="8"/>
  <c r="R286" i="8"/>
  <c r="Q286" i="8"/>
  <c r="G286" i="8"/>
  <c r="S285" i="8"/>
  <c r="R285" i="8"/>
  <c r="Q285" i="8"/>
  <c r="S284" i="8"/>
  <c r="R284" i="8"/>
  <c r="Q284" i="8"/>
  <c r="I284" i="8"/>
  <c r="G284" i="8"/>
  <c r="S283" i="8"/>
  <c r="R283" i="8"/>
  <c r="Q283" i="8"/>
  <c r="G283" i="8"/>
  <c r="S282" i="8"/>
  <c r="R282" i="8"/>
  <c r="Q282" i="8"/>
  <c r="G282" i="8"/>
  <c r="S281" i="8"/>
  <c r="R281" i="8"/>
  <c r="Q281" i="8"/>
  <c r="S280" i="8"/>
  <c r="R280" i="8"/>
  <c r="Q280" i="8"/>
  <c r="G280" i="8"/>
  <c r="S279" i="8"/>
  <c r="R279" i="8"/>
  <c r="Q279" i="8"/>
  <c r="S278" i="8"/>
  <c r="R278" i="8"/>
  <c r="Q278" i="8"/>
  <c r="I278" i="8"/>
  <c r="G278" i="8"/>
  <c r="S277" i="8"/>
  <c r="R277" i="8"/>
  <c r="Q277" i="8"/>
  <c r="G277" i="8"/>
  <c r="S276" i="8"/>
  <c r="R276" i="8"/>
  <c r="Q276" i="8"/>
  <c r="S275" i="8"/>
  <c r="R275" i="8"/>
  <c r="Q275" i="8"/>
  <c r="G275" i="8"/>
  <c r="S274" i="8"/>
  <c r="R274" i="8"/>
  <c r="Q274" i="8"/>
  <c r="G274" i="8"/>
  <c r="S273" i="8"/>
  <c r="R273" i="8"/>
  <c r="Q273" i="8"/>
  <c r="I273" i="8"/>
  <c r="G273" i="8"/>
  <c r="S272" i="8"/>
  <c r="R272" i="8"/>
  <c r="Q272" i="8"/>
  <c r="S271" i="8"/>
  <c r="R271" i="8"/>
  <c r="Q271" i="8"/>
  <c r="S270" i="8"/>
  <c r="R270" i="8"/>
  <c r="Q270" i="8"/>
  <c r="S269" i="8"/>
  <c r="R269" i="8"/>
  <c r="Q269" i="8"/>
  <c r="G269" i="8"/>
  <c r="S268" i="8"/>
  <c r="R268" i="8"/>
  <c r="Q268" i="8"/>
  <c r="S267" i="8"/>
  <c r="R267" i="8"/>
  <c r="Q267" i="8"/>
  <c r="G267" i="8"/>
  <c r="S266" i="8"/>
  <c r="R266" i="8"/>
  <c r="Q266" i="8"/>
  <c r="S265" i="8"/>
  <c r="R265" i="8"/>
  <c r="Q265" i="8"/>
  <c r="S264" i="8"/>
  <c r="R264" i="8"/>
  <c r="Q264" i="8"/>
  <c r="S263" i="8"/>
  <c r="R263" i="8"/>
  <c r="Q263" i="8"/>
  <c r="S262" i="8"/>
  <c r="R262" i="8"/>
  <c r="Q262" i="8"/>
  <c r="S261" i="8"/>
  <c r="R261" i="8"/>
  <c r="Q261" i="8"/>
  <c r="S260" i="8"/>
  <c r="R260" i="8"/>
  <c r="Q260" i="8"/>
  <c r="S259" i="8"/>
  <c r="R259" i="8"/>
  <c r="Q259" i="8"/>
  <c r="S258" i="8"/>
  <c r="R258" i="8"/>
  <c r="Q258" i="8"/>
  <c r="S257" i="8"/>
  <c r="R257" i="8"/>
  <c r="Q257" i="8"/>
  <c r="I257" i="8"/>
  <c r="G257" i="8"/>
  <c r="S256" i="8"/>
  <c r="R256" i="8"/>
  <c r="Q256" i="8"/>
  <c r="S255" i="8"/>
  <c r="R255" i="8"/>
  <c r="Q255" i="8"/>
  <c r="S254" i="8"/>
  <c r="R254" i="8"/>
  <c r="Q254" i="8"/>
  <c r="S253" i="8"/>
  <c r="R253" i="8"/>
  <c r="Q253" i="8"/>
  <c r="G253" i="8"/>
  <c r="S252" i="8"/>
  <c r="R252" i="8"/>
  <c r="Q252" i="8"/>
  <c r="G252" i="8"/>
  <c r="S251" i="8"/>
  <c r="R251" i="8"/>
  <c r="Q251" i="8"/>
  <c r="S250" i="8"/>
  <c r="R250" i="8"/>
  <c r="Q250" i="8"/>
  <c r="S249" i="8"/>
  <c r="R249" i="8"/>
  <c r="Q249" i="8"/>
  <c r="G249" i="8"/>
  <c r="S248" i="8"/>
  <c r="R248" i="8"/>
  <c r="Q248" i="8"/>
  <c r="S247" i="8"/>
  <c r="R247" i="8"/>
  <c r="Q247" i="8"/>
  <c r="S246" i="8"/>
  <c r="R246" i="8"/>
  <c r="Q246" i="8"/>
  <c r="I246" i="8"/>
  <c r="G246" i="8"/>
  <c r="S245" i="8"/>
  <c r="R245" i="8"/>
  <c r="Q245" i="8"/>
  <c r="S244" i="8"/>
  <c r="R244" i="8"/>
  <c r="Q244" i="8"/>
  <c r="S243" i="8"/>
  <c r="R243" i="8"/>
  <c r="Q243" i="8"/>
  <c r="S242" i="8"/>
  <c r="R242" i="8"/>
  <c r="Q242" i="8"/>
  <c r="S241" i="8"/>
  <c r="R241" i="8"/>
  <c r="Q241" i="8"/>
  <c r="S240" i="8"/>
  <c r="R240" i="8"/>
  <c r="Q240" i="8"/>
  <c r="S239" i="8"/>
  <c r="R239" i="8"/>
  <c r="Q239" i="8"/>
  <c r="S238" i="8"/>
  <c r="R238" i="8"/>
  <c r="Q238" i="8"/>
  <c r="I238" i="8"/>
  <c r="G238" i="8"/>
  <c r="S237" i="8"/>
  <c r="R237" i="8"/>
  <c r="Q237" i="8"/>
  <c r="S236" i="8"/>
  <c r="R236" i="8"/>
  <c r="Q236" i="8"/>
  <c r="S235" i="8"/>
  <c r="R235" i="8"/>
  <c r="Q235" i="8"/>
  <c r="S234" i="8"/>
  <c r="R234" i="8"/>
  <c r="Q234" i="8"/>
  <c r="G234" i="8"/>
  <c r="S233" i="8"/>
  <c r="R233" i="8"/>
  <c r="Q233" i="8"/>
  <c r="S232" i="8"/>
  <c r="R232" i="8"/>
  <c r="Q232" i="8"/>
  <c r="I232" i="8"/>
  <c r="G232" i="8"/>
  <c r="S231" i="8"/>
  <c r="R231" i="8"/>
  <c r="Q231" i="8"/>
  <c r="I231" i="8"/>
  <c r="G231" i="8"/>
  <c r="S230" i="8"/>
  <c r="R230" i="8"/>
  <c r="Q230" i="8"/>
  <c r="I230" i="8"/>
  <c r="G230" i="8"/>
  <c r="S229" i="8"/>
  <c r="R229" i="8"/>
  <c r="Q229" i="8"/>
  <c r="I229" i="8"/>
  <c r="G229" i="8"/>
  <c r="S228" i="8"/>
  <c r="R228" i="8"/>
  <c r="Q228" i="8"/>
  <c r="S227" i="8"/>
  <c r="R227" i="8"/>
  <c r="Q227" i="8"/>
  <c r="S226" i="8"/>
  <c r="R226" i="8"/>
  <c r="Q226" i="8"/>
  <c r="G226" i="8"/>
  <c r="S225" i="8"/>
  <c r="R225" i="8"/>
  <c r="Q225" i="8"/>
  <c r="I225" i="8"/>
  <c r="G225" i="8"/>
  <c r="S224" i="8"/>
  <c r="R224" i="8"/>
  <c r="Q224" i="8"/>
  <c r="G224" i="8"/>
  <c r="R223" i="8"/>
  <c r="Q223" i="8"/>
  <c r="S223" i="8" s="1"/>
  <c r="I223" i="8"/>
  <c r="S222" i="8"/>
  <c r="R222" i="8"/>
  <c r="Q222" i="8"/>
  <c r="I222" i="8"/>
  <c r="G222" i="8"/>
  <c r="S221" i="8"/>
  <c r="R221" i="8"/>
  <c r="Q221" i="8"/>
  <c r="I221" i="8"/>
  <c r="G221" i="8"/>
  <c r="S220" i="8"/>
  <c r="R220" i="8"/>
  <c r="Q220" i="8"/>
  <c r="G220" i="8"/>
  <c r="S219" i="8"/>
  <c r="R219" i="8"/>
  <c r="Q219" i="8"/>
  <c r="G219" i="8"/>
  <c r="R218" i="8"/>
  <c r="Q218" i="8"/>
  <c r="S218" i="8" s="1"/>
  <c r="G218" i="8"/>
  <c r="S217" i="8"/>
  <c r="R217" i="8"/>
  <c r="Q217" i="8"/>
  <c r="S216" i="8"/>
  <c r="R216" i="8"/>
  <c r="Q216" i="8"/>
  <c r="G216" i="8"/>
  <c r="S215" i="8"/>
  <c r="R215" i="8"/>
  <c r="Q215" i="8"/>
  <c r="G215" i="8"/>
  <c r="S214" i="8"/>
  <c r="R214" i="8"/>
  <c r="Q214" i="8"/>
  <c r="G214" i="8"/>
  <c r="S213" i="8"/>
  <c r="R213" i="8"/>
  <c r="Q213" i="8"/>
  <c r="G213" i="8"/>
  <c r="S212" i="8"/>
  <c r="R212" i="8"/>
  <c r="Q212" i="8"/>
  <c r="G212" i="8"/>
  <c r="S211" i="8"/>
  <c r="R211" i="8"/>
  <c r="Q211" i="8"/>
  <c r="G211" i="8"/>
  <c r="S210" i="8"/>
  <c r="R210" i="8"/>
  <c r="Q210" i="8"/>
  <c r="G210" i="8"/>
  <c r="S209" i="8"/>
  <c r="R209" i="8"/>
  <c r="Q209" i="8"/>
  <c r="G209" i="8"/>
  <c r="S208" i="8"/>
  <c r="R208" i="8"/>
  <c r="Q208" i="8"/>
  <c r="G208" i="8"/>
  <c r="S207" i="8"/>
  <c r="R207" i="8"/>
  <c r="Q207" i="8"/>
  <c r="G207" i="8"/>
  <c r="S206" i="8"/>
  <c r="R206" i="8"/>
  <c r="Q206" i="8"/>
  <c r="G206" i="8"/>
  <c r="S205" i="8"/>
  <c r="R205" i="8"/>
  <c r="Q205" i="8"/>
  <c r="G205" i="8"/>
  <c r="S204" i="8"/>
  <c r="R204" i="8"/>
  <c r="Q204" i="8"/>
  <c r="G204" i="8"/>
  <c r="S203" i="8"/>
  <c r="R203" i="8"/>
  <c r="Q203" i="8"/>
  <c r="S202" i="8"/>
  <c r="R202" i="8"/>
  <c r="Q202" i="8"/>
  <c r="G202" i="8"/>
  <c r="S201" i="8"/>
  <c r="R201" i="8"/>
  <c r="Q201" i="8"/>
  <c r="S200" i="8"/>
  <c r="R200" i="8"/>
  <c r="Q200" i="8"/>
  <c r="G200" i="8"/>
  <c r="S199" i="8"/>
  <c r="R199" i="8"/>
  <c r="Q199" i="8"/>
  <c r="G199" i="8"/>
  <c r="S198" i="8"/>
  <c r="R198" i="8"/>
  <c r="Q198" i="8"/>
  <c r="G198" i="8"/>
  <c r="S197" i="8"/>
  <c r="R197" i="8"/>
  <c r="Q197" i="8"/>
  <c r="G197" i="8"/>
  <c r="S196" i="8"/>
  <c r="R196" i="8"/>
  <c r="Q196" i="8"/>
  <c r="S195" i="8"/>
  <c r="R195" i="8"/>
  <c r="Q195" i="8"/>
  <c r="G195" i="8"/>
  <c r="S194" i="8"/>
  <c r="R194" i="8"/>
  <c r="Q194" i="8"/>
  <c r="G194" i="8"/>
  <c r="S193" i="8"/>
  <c r="R193" i="8"/>
  <c r="Q193" i="8"/>
  <c r="S192" i="8"/>
  <c r="R192" i="8"/>
  <c r="Q192" i="8"/>
  <c r="G192" i="8"/>
  <c r="S191" i="8"/>
  <c r="R191" i="8"/>
  <c r="Q191" i="8"/>
  <c r="G191" i="8"/>
  <c r="S190" i="8"/>
  <c r="R190" i="8"/>
  <c r="Q190" i="8"/>
  <c r="I190" i="8"/>
  <c r="G190" i="8"/>
  <c r="S189" i="8"/>
  <c r="R189" i="8"/>
  <c r="Q189" i="8"/>
  <c r="G189" i="8"/>
  <c r="S188" i="8"/>
  <c r="R188" i="8"/>
  <c r="Q188" i="8"/>
  <c r="G188" i="8"/>
  <c r="S187" i="8"/>
  <c r="R187" i="8"/>
  <c r="Q187" i="8"/>
  <c r="S186" i="8"/>
  <c r="R186" i="8"/>
  <c r="Q186" i="8"/>
  <c r="S185" i="8"/>
  <c r="R185" i="8"/>
  <c r="Q185" i="8"/>
  <c r="S184" i="8"/>
  <c r="R184" i="8"/>
  <c r="Q184" i="8"/>
  <c r="G184" i="8"/>
  <c r="S183" i="8"/>
  <c r="R183" i="8"/>
  <c r="Q183" i="8"/>
  <c r="G183" i="8"/>
  <c r="S182" i="8"/>
  <c r="R182" i="8"/>
  <c r="Q182" i="8"/>
  <c r="S181" i="8"/>
  <c r="R181" i="8"/>
  <c r="Q181" i="8"/>
  <c r="S180" i="8"/>
  <c r="R180" i="8"/>
  <c r="Q180" i="8"/>
  <c r="S179" i="8"/>
  <c r="R179" i="8"/>
  <c r="Q179" i="8"/>
  <c r="G179" i="8"/>
  <c r="S178" i="8"/>
  <c r="R178" i="8"/>
  <c r="Q178" i="8"/>
  <c r="S177" i="8"/>
  <c r="R177" i="8"/>
  <c r="Q177" i="8"/>
  <c r="G177" i="8"/>
  <c r="S176" i="8"/>
  <c r="R176" i="8"/>
  <c r="Q176" i="8"/>
  <c r="G176" i="8"/>
  <c r="S175" i="8"/>
  <c r="R175" i="8"/>
  <c r="Q175" i="8"/>
  <c r="G175" i="8"/>
  <c r="S174" i="8"/>
  <c r="R174" i="8"/>
  <c r="Q174" i="8"/>
  <c r="S173" i="8"/>
  <c r="R173" i="8"/>
  <c r="Q173" i="8"/>
  <c r="G173" i="8"/>
  <c r="S172" i="8"/>
  <c r="R172" i="8"/>
  <c r="Q172" i="8"/>
  <c r="G172" i="8"/>
  <c r="S171" i="8"/>
  <c r="R171" i="8"/>
  <c r="Q171" i="8"/>
  <c r="G171" i="8"/>
  <c r="S170" i="8"/>
  <c r="R170" i="8"/>
  <c r="Q170" i="8"/>
  <c r="G170" i="8"/>
  <c r="S169" i="8"/>
  <c r="R169" i="8"/>
  <c r="Q169" i="8"/>
  <c r="G169" i="8"/>
  <c r="S168" i="8"/>
  <c r="R168" i="8"/>
  <c r="Q168" i="8"/>
  <c r="I168" i="8"/>
  <c r="G168" i="8"/>
  <c r="S167" i="8"/>
  <c r="R167" i="8"/>
  <c r="Q167" i="8"/>
  <c r="G167" i="8"/>
  <c r="S166" i="8"/>
  <c r="R166" i="8"/>
  <c r="Q166" i="8"/>
  <c r="I166" i="8"/>
  <c r="G166" i="8"/>
  <c r="S165" i="8"/>
  <c r="R165" i="8"/>
  <c r="Q165" i="8"/>
  <c r="G165" i="8"/>
  <c r="S164" i="8"/>
  <c r="R164" i="8"/>
  <c r="Q164" i="8"/>
  <c r="G164" i="8"/>
  <c r="S163" i="8"/>
  <c r="R163" i="8"/>
  <c r="Q163" i="8"/>
  <c r="G163" i="8"/>
  <c r="S162" i="8"/>
  <c r="R162" i="8"/>
  <c r="Q162" i="8"/>
  <c r="G162" i="8"/>
  <c r="S161" i="8"/>
  <c r="R161" i="8"/>
  <c r="Q161" i="8"/>
  <c r="G161" i="8"/>
  <c r="S160" i="8"/>
  <c r="R160" i="8"/>
  <c r="Q160" i="8"/>
  <c r="G160" i="8"/>
  <c r="S159" i="8"/>
  <c r="R159" i="8"/>
  <c r="Q159" i="8"/>
  <c r="G159" i="8"/>
  <c r="S158" i="8"/>
  <c r="R158" i="8"/>
  <c r="Q158" i="8"/>
  <c r="G158" i="8"/>
  <c r="S157" i="8"/>
  <c r="R157" i="8"/>
  <c r="Q157" i="8"/>
  <c r="I157" i="8"/>
  <c r="G157" i="8"/>
  <c r="S156" i="8"/>
  <c r="R156" i="8"/>
  <c r="Q156" i="8"/>
  <c r="G156" i="8"/>
  <c r="S155" i="8"/>
  <c r="R155" i="8"/>
  <c r="Q155" i="8"/>
  <c r="G155" i="8"/>
  <c r="S154" i="8"/>
  <c r="R154" i="8"/>
  <c r="Q154" i="8"/>
  <c r="G154" i="8"/>
  <c r="S153" i="8"/>
  <c r="R153" i="8"/>
  <c r="Q153" i="8"/>
  <c r="S152" i="8"/>
  <c r="R152" i="8"/>
  <c r="Q152" i="8"/>
  <c r="S151" i="8"/>
  <c r="R151" i="8"/>
  <c r="Q151" i="8"/>
  <c r="G151" i="8"/>
  <c r="S150" i="8"/>
  <c r="R150" i="8"/>
  <c r="Q150" i="8"/>
  <c r="G150" i="8"/>
  <c r="S149" i="8"/>
  <c r="R149" i="8"/>
  <c r="Q149" i="8"/>
  <c r="I149" i="8"/>
  <c r="G149" i="8"/>
  <c r="S148" i="8"/>
  <c r="R148" i="8"/>
  <c r="Q148" i="8"/>
  <c r="G148" i="8"/>
  <c r="S147" i="8"/>
  <c r="R147" i="8"/>
  <c r="Q147" i="8"/>
  <c r="S146" i="8"/>
  <c r="R146" i="8"/>
  <c r="Q146" i="8"/>
  <c r="G146" i="8"/>
  <c r="S145" i="8"/>
  <c r="R145" i="8"/>
  <c r="Q145" i="8"/>
  <c r="G145" i="8"/>
  <c r="S144" i="8"/>
  <c r="R144" i="8"/>
  <c r="Q144" i="8"/>
  <c r="S143" i="8"/>
  <c r="R143" i="8"/>
  <c r="Q143" i="8"/>
  <c r="G143" i="8"/>
  <c r="S142" i="8"/>
  <c r="R142" i="8"/>
  <c r="Q142" i="8"/>
  <c r="S141" i="8"/>
  <c r="R141" i="8"/>
  <c r="Q141" i="8"/>
  <c r="G141" i="8"/>
  <c r="S140" i="8"/>
  <c r="R140" i="8"/>
  <c r="Q140" i="8"/>
  <c r="G140" i="8"/>
  <c r="S139" i="8"/>
  <c r="R139" i="8"/>
  <c r="Q139" i="8"/>
  <c r="S138" i="8"/>
  <c r="R138" i="8"/>
  <c r="Q138" i="8"/>
  <c r="G138" i="8"/>
  <c r="S137" i="8"/>
  <c r="R137" i="8"/>
  <c r="Q137" i="8"/>
  <c r="G137" i="8"/>
  <c r="S136" i="8"/>
  <c r="R136" i="8"/>
  <c r="Q136" i="8"/>
  <c r="G136" i="8"/>
  <c r="S135" i="8"/>
  <c r="R135" i="8"/>
  <c r="Q135" i="8"/>
  <c r="G135" i="8"/>
  <c r="S134" i="8"/>
  <c r="R134" i="8"/>
  <c r="Q134" i="8"/>
  <c r="G134" i="8"/>
  <c r="S133" i="8"/>
  <c r="R133" i="8"/>
  <c r="Q133" i="8"/>
  <c r="G133" i="8"/>
  <c r="S132" i="8"/>
  <c r="R132" i="8"/>
  <c r="Q132" i="8"/>
  <c r="G132" i="8"/>
  <c r="S131" i="8"/>
  <c r="R131" i="8"/>
  <c r="Q131" i="8"/>
  <c r="G131" i="8"/>
  <c r="S130" i="8"/>
  <c r="R130" i="8"/>
  <c r="Q130" i="8"/>
  <c r="I130" i="8"/>
  <c r="G130" i="8"/>
  <c r="S129" i="8"/>
  <c r="R129" i="8"/>
  <c r="Q129" i="8"/>
  <c r="G129" i="8"/>
  <c r="S128" i="8"/>
  <c r="R128" i="8"/>
  <c r="Q128" i="8"/>
  <c r="G128" i="8"/>
  <c r="S127" i="8"/>
  <c r="R127" i="8"/>
  <c r="Q127" i="8"/>
  <c r="G127" i="8"/>
  <c r="S126" i="8"/>
  <c r="R126" i="8"/>
  <c r="Q126" i="8"/>
  <c r="G126" i="8"/>
  <c r="S125" i="8"/>
  <c r="R125" i="8"/>
  <c r="Q125" i="8"/>
  <c r="G125" i="8"/>
  <c r="S124" i="8"/>
  <c r="R124" i="8"/>
  <c r="Q124" i="8"/>
  <c r="G124" i="8"/>
  <c r="S123" i="8"/>
  <c r="R123" i="8"/>
  <c r="Q123" i="8"/>
  <c r="G123" i="8"/>
  <c r="S122" i="8"/>
  <c r="R122" i="8"/>
  <c r="Q122" i="8"/>
  <c r="G122" i="8"/>
  <c r="S121" i="8"/>
  <c r="R121" i="8"/>
  <c r="Q121" i="8"/>
  <c r="G121" i="8"/>
  <c r="S120" i="8"/>
  <c r="R120" i="8"/>
  <c r="Q120" i="8"/>
  <c r="G120" i="8"/>
  <c r="S119" i="8"/>
  <c r="R119" i="8"/>
  <c r="Q119" i="8"/>
  <c r="G119" i="8"/>
  <c r="S118" i="8"/>
  <c r="R118" i="8"/>
  <c r="Q118" i="8"/>
  <c r="G118" i="8"/>
  <c r="S117" i="8"/>
  <c r="R117" i="8"/>
  <c r="Q117" i="8"/>
  <c r="G117" i="8"/>
  <c r="S116" i="8"/>
  <c r="R116" i="8"/>
  <c r="Q116" i="8"/>
  <c r="G116" i="8"/>
  <c r="S115" i="8"/>
  <c r="R115" i="8"/>
  <c r="Q115" i="8"/>
  <c r="G115" i="8"/>
  <c r="S114" i="8"/>
  <c r="R114" i="8"/>
  <c r="Q114" i="8"/>
  <c r="G114" i="8"/>
  <c r="S113" i="8"/>
  <c r="R113" i="8"/>
  <c r="Q113" i="8"/>
  <c r="G113" i="8"/>
  <c r="S112" i="8"/>
  <c r="R112" i="8"/>
  <c r="Q112" i="8"/>
  <c r="G112" i="8"/>
  <c r="S111" i="8"/>
  <c r="R111" i="8"/>
  <c r="Q111" i="8"/>
  <c r="G111" i="8"/>
  <c r="S110" i="8"/>
  <c r="R110" i="8"/>
  <c r="Q110" i="8"/>
  <c r="S109" i="8"/>
  <c r="R109" i="8"/>
  <c r="Q109" i="8"/>
  <c r="G109" i="8"/>
  <c r="S108" i="8"/>
  <c r="R108" i="8"/>
  <c r="Q108" i="8"/>
  <c r="G108" i="8"/>
  <c r="S107" i="8"/>
  <c r="R107" i="8"/>
  <c r="Q107" i="8"/>
  <c r="I107" i="8"/>
  <c r="G107" i="8"/>
  <c r="S106" i="8"/>
  <c r="R106" i="8"/>
  <c r="Q106" i="8"/>
  <c r="G106" i="8"/>
  <c r="S105" i="8"/>
  <c r="R105" i="8"/>
  <c r="Q105" i="8"/>
  <c r="G105" i="8"/>
  <c r="S104" i="8"/>
  <c r="R104" i="8"/>
  <c r="Q104" i="8"/>
  <c r="S103" i="8"/>
  <c r="R103" i="8"/>
  <c r="Q103" i="8"/>
  <c r="G103" i="8"/>
  <c r="S102" i="8"/>
  <c r="R102" i="8"/>
  <c r="Q102" i="8"/>
  <c r="G102" i="8"/>
  <c r="S101" i="8"/>
  <c r="R101" i="8"/>
  <c r="Q101" i="8"/>
  <c r="G101" i="8"/>
  <c r="S100" i="8"/>
  <c r="R100" i="8"/>
  <c r="Q100" i="8"/>
  <c r="G100" i="8"/>
  <c r="S99" i="8"/>
  <c r="R99" i="8"/>
  <c r="Q99" i="8"/>
  <c r="G99" i="8"/>
  <c r="S98" i="8"/>
  <c r="R98" i="8"/>
  <c r="Q98" i="8"/>
  <c r="I98" i="8"/>
  <c r="G98" i="8"/>
  <c r="S97" i="8"/>
  <c r="R97" i="8"/>
  <c r="Q97" i="8"/>
  <c r="G97" i="8"/>
  <c r="S96" i="8"/>
  <c r="R96" i="8"/>
  <c r="Q96" i="8"/>
  <c r="G96" i="8"/>
  <c r="S95" i="8"/>
  <c r="R95" i="8"/>
  <c r="Q95" i="8"/>
  <c r="G95" i="8"/>
  <c r="S94" i="8"/>
  <c r="R94" i="8"/>
  <c r="Q94" i="8"/>
  <c r="G94" i="8"/>
  <c r="S93" i="8"/>
  <c r="R93" i="8"/>
  <c r="Q93" i="8"/>
  <c r="G93" i="8"/>
  <c r="S92" i="8"/>
  <c r="R92" i="8"/>
  <c r="Q92" i="8"/>
  <c r="G92" i="8"/>
  <c r="S91" i="8"/>
  <c r="R91" i="8"/>
  <c r="Q91" i="8"/>
  <c r="G91" i="8"/>
  <c r="S90" i="8"/>
  <c r="R90" i="8"/>
  <c r="Q90" i="8"/>
  <c r="G90" i="8"/>
  <c r="S89" i="8"/>
  <c r="R89" i="8"/>
  <c r="Q89" i="8"/>
  <c r="G89" i="8"/>
  <c r="S88" i="8"/>
  <c r="R88" i="8"/>
  <c r="Q88" i="8"/>
  <c r="G88" i="8"/>
  <c r="S87" i="8"/>
  <c r="R87" i="8"/>
  <c r="Q87" i="8"/>
  <c r="G87" i="8"/>
  <c r="S86" i="8"/>
  <c r="R86" i="8"/>
  <c r="Q86" i="8"/>
  <c r="G86" i="8"/>
  <c r="S85" i="8"/>
  <c r="R85" i="8"/>
  <c r="Q85" i="8"/>
  <c r="G85" i="8"/>
  <c r="S84" i="8"/>
  <c r="R84" i="8"/>
  <c r="Q84" i="8"/>
  <c r="G84" i="8"/>
  <c r="S83" i="8"/>
  <c r="R83" i="8"/>
  <c r="Q83" i="8"/>
  <c r="I83" i="8"/>
  <c r="G83" i="8"/>
  <c r="S82" i="8"/>
  <c r="R82" i="8"/>
  <c r="Q82" i="8"/>
  <c r="I82" i="8"/>
  <c r="G82" i="8"/>
  <c r="S81" i="8"/>
  <c r="R81" i="8"/>
  <c r="Q81" i="8"/>
  <c r="I81" i="8"/>
  <c r="G81" i="8"/>
  <c r="S80" i="8"/>
  <c r="R80" i="8"/>
  <c r="Q80" i="8"/>
  <c r="G80" i="8"/>
  <c r="S79" i="8"/>
  <c r="R79" i="8"/>
  <c r="Q79" i="8"/>
  <c r="G79" i="8"/>
  <c r="S78" i="8"/>
  <c r="R78" i="8"/>
  <c r="Q78" i="8"/>
  <c r="I78" i="8"/>
  <c r="G78" i="8"/>
  <c r="S77" i="8"/>
  <c r="R77" i="8"/>
  <c r="Q77" i="8"/>
  <c r="G77" i="8"/>
  <c r="S76" i="8"/>
  <c r="R76" i="8"/>
  <c r="Q76" i="8"/>
  <c r="G76" i="8"/>
  <c r="S75" i="8"/>
  <c r="R75" i="8"/>
  <c r="Q75" i="8"/>
  <c r="G75" i="8"/>
  <c r="S74" i="8"/>
  <c r="R74" i="8"/>
  <c r="Q74" i="8"/>
  <c r="G74" i="8"/>
  <c r="S73" i="8"/>
  <c r="R73" i="8"/>
  <c r="Q73" i="8"/>
  <c r="I73" i="8"/>
  <c r="G73" i="8"/>
  <c r="S72" i="8"/>
  <c r="R72" i="8"/>
  <c r="Q72" i="8"/>
  <c r="G72" i="8"/>
  <c r="S71" i="8"/>
  <c r="R71" i="8"/>
  <c r="Q71" i="8"/>
  <c r="G71" i="8"/>
  <c r="S70" i="8"/>
  <c r="R70" i="8"/>
  <c r="Q70" i="8"/>
  <c r="G70" i="8"/>
  <c r="S69" i="8"/>
  <c r="R69" i="8"/>
  <c r="Q69" i="8"/>
  <c r="G69" i="8"/>
  <c r="S68" i="8"/>
  <c r="R68" i="8"/>
  <c r="Q68" i="8"/>
  <c r="G68" i="8"/>
  <c r="S67" i="8"/>
  <c r="R67" i="8"/>
  <c r="Q67" i="8"/>
  <c r="G67" i="8"/>
  <c r="S66" i="8"/>
  <c r="R66" i="8"/>
  <c r="Q66" i="8"/>
  <c r="G66" i="8"/>
  <c r="S65" i="8"/>
  <c r="R65" i="8"/>
  <c r="Q65" i="8"/>
  <c r="G65" i="8"/>
  <c r="S64" i="8"/>
  <c r="R64" i="8"/>
  <c r="Q64" i="8"/>
  <c r="G64" i="8"/>
  <c r="S63" i="8"/>
  <c r="R63" i="8"/>
  <c r="Q63" i="8"/>
  <c r="S62" i="8"/>
  <c r="R62" i="8"/>
  <c r="Q62" i="8"/>
  <c r="G62" i="8"/>
  <c r="S61" i="8"/>
  <c r="R61" i="8"/>
  <c r="Q61" i="8"/>
  <c r="I61" i="8"/>
  <c r="G61" i="8"/>
  <c r="S60" i="8"/>
  <c r="R60" i="8"/>
  <c r="Q60" i="8"/>
  <c r="G60" i="8"/>
  <c r="S59" i="8"/>
  <c r="R59" i="8"/>
  <c r="Q59" i="8"/>
  <c r="S58" i="8"/>
  <c r="R58" i="8"/>
  <c r="Q58" i="8"/>
  <c r="G58" i="8"/>
  <c r="S57" i="8"/>
  <c r="R57" i="8"/>
  <c r="Q57" i="8"/>
  <c r="G57" i="8"/>
  <c r="S56" i="8"/>
  <c r="R56" i="8"/>
  <c r="Q56" i="8"/>
  <c r="G56" i="8"/>
  <c r="S55" i="8"/>
  <c r="R55" i="8"/>
  <c r="Q55" i="8"/>
  <c r="G55" i="8"/>
  <c r="S54" i="8"/>
  <c r="R54" i="8"/>
  <c r="Q54" i="8"/>
  <c r="G54" i="8"/>
  <c r="S53" i="8"/>
  <c r="R53" i="8"/>
  <c r="Q53" i="8"/>
  <c r="G53" i="8"/>
  <c r="S52" i="8"/>
  <c r="R52" i="8"/>
  <c r="Q52" i="8"/>
  <c r="G52" i="8"/>
  <c r="S51" i="8"/>
  <c r="R51" i="8"/>
  <c r="Q51" i="8"/>
  <c r="G51" i="8"/>
  <c r="S50" i="8"/>
  <c r="R50" i="8"/>
  <c r="Q50" i="8"/>
  <c r="I50" i="8"/>
  <c r="G50" i="8"/>
  <c r="S49" i="8"/>
  <c r="R49" i="8"/>
  <c r="Q49" i="8"/>
  <c r="G49" i="8"/>
  <c r="S48" i="8"/>
  <c r="R48" i="8"/>
  <c r="Q48" i="8"/>
  <c r="G48" i="8"/>
  <c r="S47" i="8"/>
  <c r="R47" i="8"/>
  <c r="Q47" i="8"/>
  <c r="G47" i="8"/>
  <c r="S46" i="8"/>
  <c r="R46" i="8"/>
  <c r="Q46" i="8"/>
  <c r="G46" i="8"/>
  <c r="S45" i="8"/>
  <c r="R45" i="8"/>
  <c r="Q45" i="8"/>
  <c r="S44" i="8"/>
  <c r="R44" i="8"/>
  <c r="Q44" i="8"/>
  <c r="S43" i="8"/>
  <c r="R43" i="8"/>
  <c r="Q43" i="8"/>
  <c r="S42" i="8"/>
  <c r="R42" i="8"/>
  <c r="Q42" i="8"/>
  <c r="G42" i="8"/>
  <c r="S41" i="8"/>
  <c r="R41" i="8"/>
  <c r="Q41" i="8"/>
  <c r="G41" i="8"/>
  <c r="S40" i="8"/>
  <c r="R40" i="8"/>
  <c r="Q40" i="8"/>
  <c r="I40" i="8"/>
  <c r="G40" i="8"/>
  <c r="S39" i="8"/>
  <c r="R39" i="8"/>
  <c r="Q39" i="8"/>
  <c r="G39" i="8"/>
  <c r="S38" i="8"/>
  <c r="R38" i="8"/>
  <c r="Q38" i="8"/>
  <c r="S37" i="8"/>
  <c r="R37" i="8"/>
  <c r="Q37" i="8"/>
  <c r="G37" i="8"/>
  <c r="S36" i="8"/>
  <c r="R36" i="8"/>
  <c r="Q36" i="8"/>
  <c r="I36" i="8"/>
  <c r="G36" i="8"/>
  <c r="S35" i="8"/>
  <c r="R35" i="8"/>
  <c r="Q35" i="8"/>
  <c r="G35" i="8"/>
  <c r="S34" i="8"/>
  <c r="R34" i="8"/>
  <c r="Q34" i="8"/>
  <c r="G34" i="8"/>
  <c r="S33" i="8"/>
  <c r="R33" i="8"/>
  <c r="Q33" i="8"/>
  <c r="S32" i="8"/>
  <c r="R32" i="8"/>
  <c r="Q32" i="8"/>
  <c r="S31" i="8"/>
  <c r="R31" i="8"/>
  <c r="Q31" i="8"/>
  <c r="S30" i="8"/>
  <c r="R30" i="8"/>
  <c r="Q30" i="8"/>
  <c r="S29" i="8"/>
  <c r="R29" i="8"/>
  <c r="Q29" i="8"/>
  <c r="S28" i="8"/>
  <c r="R28" i="8"/>
  <c r="Q28" i="8"/>
  <c r="G28" i="8"/>
  <c r="S27" i="8"/>
  <c r="R27" i="8"/>
  <c r="Q27" i="8"/>
  <c r="G27" i="8"/>
  <c r="S26" i="8"/>
  <c r="R26" i="8"/>
  <c r="Q26" i="8"/>
  <c r="G26" i="8"/>
  <c r="S25" i="8"/>
  <c r="R25" i="8"/>
  <c r="Q25" i="8"/>
  <c r="G25" i="8"/>
  <c r="S24" i="8"/>
  <c r="R24" i="8"/>
  <c r="Q24" i="8"/>
  <c r="S23" i="8"/>
  <c r="R23" i="8"/>
  <c r="Q23" i="8"/>
  <c r="G23" i="8"/>
  <c r="S22" i="8"/>
  <c r="R22" i="8"/>
  <c r="Q22" i="8"/>
  <c r="G22" i="8"/>
  <c r="S21" i="8"/>
  <c r="R21" i="8"/>
  <c r="Q21" i="8"/>
  <c r="I21" i="8"/>
  <c r="G21" i="8"/>
  <c r="S20" i="8"/>
  <c r="R20" i="8"/>
  <c r="Q20" i="8"/>
  <c r="G20" i="8"/>
  <c r="S19" i="8"/>
  <c r="R19" i="8"/>
  <c r="Q19" i="8"/>
  <c r="G19" i="8"/>
  <c r="S18" i="8"/>
  <c r="R18" i="8"/>
  <c r="Q18" i="8"/>
  <c r="S17" i="8"/>
  <c r="R17" i="8"/>
  <c r="Q17" i="8"/>
  <c r="G17" i="8"/>
  <c r="S16" i="8"/>
  <c r="R16" i="8"/>
  <c r="Q16" i="8"/>
  <c r="G16" i="8"/>
  <c r="S15" i="8"/>
  <c r="R15" i="8"/>
  <c r="Q15" i="8"/>
  <c r="I15" i="8"/>
  <c r="G15" i="8"/>
  <c r="S14" i="8"/>
  <c r="R14" i="8"/>
  <c r="Q14" i="8"/>
  <c r="I14" i="8"/>
  <c r="G14" i="8"/>
  <c r="S13" i="8"/>
  <c r="R13" i="8"/>
  <c r="Q13" i="8"/>
  <c r="I13" i="8"/>
  <c r="G13" i="8"/>
  <c r="S12" i="8"/>
  <c r="R12" i="8"/>
  <c r="Q12" i="8"/>
  <c r="S11" i="8"/>
  <c r="R11" i="8"/>
  <c r="Q11" i="8"/>
  <c r="S10" i="8"/>
  <c r="R10" i="8"/>
  <c r="Q10" i="8"/>
  <c r="S9" i="8"/>
  <c r="R9" i="8"/>
  <c r="Q9" i="8"/>
  <c r="G9" i="8"/>
  <c r="S8" i="8"/>
  <c r="R8" i="8"/>
  <c r="Q8" i="8"/>
  <c r="G8" i="8"/>
  <c r="S7" i="8"/>
  <c r="R7" i="8"/>
  <c r="Q7" i="8"/>
  <c r="G7" i="8"/>
  <c r="R494" i="9"/>
  <c r="P494" i="9"/>
  <c r="O494" i="9"/>
  <c r="N494" i="9"/>
  <c r="M494" i="9"/>
  <c r="L494" i="9"/>
  <c r="K494" i="9"/>
  <c r="J494" i="9"/>
  <c r="H494" i="9"/>
  <c r="S490" i="9"/>
  <c r="R490" i="9"/>
  <c r="Q490" i="9"/>
  <c r="S489" i="9"/>
  <c r="R489" i="9"/>
  <c r="Q489" i="9"/>
  <c r="S488" i="9"/>
  <c r="R488" i="9"/>
  <c r="Q488" i="9"/>
  <c r="S487" i="9"/>
  <c r="R487" i="9"/>
  <c r="Q487" i="9"/>
  <c r="S486" i="9"/>
  <c r="R486" i="9"/>
  <c r="Q486" i="9"/>
  <c r="S485" i="9"/>
  <c r="R485" i="9"/>
  <c r="Q485" i="9"/>
  <c r="G485" i="9"/>
  <c r="S484" i="9"/>
  <c r="R484" i="9"/>
  <c r="Q484" i="9"/>
  <c r="S483" i="9"/>
  <c r="R483" i="9"/>
  <c r="Q483" i="9"/>
  <c r="S482" i="9"/>
  <c r="R482" i="9"/>
  <c r="Q482" i="9"/>
  <c r="S481" i="9"/>
  <c r="R481" i="9"/>
  <c r="Q481" i="9"/>
  <c r="S480" i="9"/>
  <c r="R480" i="9"/>
  <c r="Q480" i="9"/>
  <c r="S479" i="9"/>
  <c r="R479" i="9"/>
  <c r="Q479" i="9"/>
  <c r="G479" i="9"/>
  <c r="S478" i="9"/>
  <c r="R478" i="9"/>
  <c r="Q478" i="9"/>
  <c r="S477" i="9"/>
  <c r="R477" i="9"/>
  <c r="Q477" i="9"/>
  <c r="S476" i="9"/>
  <c r="R476" i="9"/>
  <c r="Q476" i="9"/>
  <c r="S475" i="9"/>
  <c r="R475" i="9"/>
  <c r="Q475" i="9"/>
  <c r="S474" i="9"/>
  <c r="R474" i="9"/>
  <c r="Q474" i="9"/>
  <c r="S473" i="9"/>
  <c r="R473" i="9"/>
  <c r="Q473" i="9"/>
  <c r="S472" i="9"/>
  <c r="R472" i="9"/>
  <c r="Q472" i="9"/>
  <c r="S471" i="9"/>
  <c r="R471" i="9"/>
  <c r="Q471" i="9"/>
  <c r="S470" i="9"/>
  <c r="R470" i="9"/>
  <c r="Q470" i="9"/>
  <c r="S469" i="9"/>
  <c r="R469" i="9"/>
  <c r="Q469" i="9"/>
  <c r="S468" i="9"/>
  <c r="R468" i="9"/>
  <c r="Q468" i="9"/>
  <c r="G468" i="9"/>
  <c r="S467" i="9"/>
  <c r="R467" i="9"/>
  <c r="Q467" i="9"/>
  <c r="S466" i="9"/>
  <c r="R466" i="9"/>
  <c r="Q466" i="9"/>
  <c r="S465" i="9"/>
  <c r="R465" i="9"/>
  <c r="Q465" i="9"/>
  <c r="R464" i="9"/>
  <c r="Q464" i="9"/>
  <c r="S464" i="9" s="1"/>
  <c r="S463" i="9"/>
  <c r="R463" i="9"/>
  <c r="Q463" i="9"/>
  <c r="R462" i="9"/>
  <c r="Q462" i="9"/>
  <c r="S462" i="9" s="1"/>
  <c r="S461" i="9"/>
  <c r="R461" i="9"/>
  <c r="Q461" i="9"/>
  <c r="S460" i="9"/>
  <c r="R460" i="9"/>
  <c r="Q460" i="9"/>
  <c r="G460" i="9"/>
  <c r="S459" i="9"/>
  <c r="R459" i="9"/>
  <c r="Q459" i="9"/>
  <c r="S458" i="9"/>
  <c r="R458" i="9"/>
  <c r="Q458" i="9"/>
  <c r="G458" i="9"/>
  <c r="S457" i="9"/>
  <c r="R457" i="9"/>
  <c r="Q457" i="9"/>
  <c r="S456" i="9"/>
  <c r="R456" i="9"/>
  <c r="Q456" i="9"/>
  <c r="I456" i="9"/>
  <c r="S455" i="9"/>
  <c r="R455" i="9"/>
  <c r="Q455" i="9"/>
  <c r="G455" i="9"/>
  <c r="S454" i="9"/>
  <c r="R454" i="9"/>
  <c r="Q454" i="9"/>
  <c r="G454" i="9"/>
  <c r="R453" i="9"/>
  <c r="Q453" i="9"/>
  <c r="S453" i="9" s="1"/>
  <c r="S452" i="9"/>
  <c r="R452" i="9"/>
  <c r="Q452" i="9"/>
  <c r="I452" i="9"/>
  <c r="G452" i="9"/>
  <c r="S451" i="9"/>
  <c r="R451" i="9"/>
  <c r="Q451" i="9"/>
  <c r="G451" i="9"/>
  <c r="S450" i="9"/>
  <c r="R450" i="9"/>
  <c r="Q450" i="9"/>
  <c r="G450" i="9"/>
  <c r="S449" i="9"/>
  <c r="R449" i="9"/>
  <c r="Q449" i="9"/>
  <c r="S448" i="9"/>
  <c r="R448" i="9"/>
  <c r="Q448" i="9"/>
  <c r="S447" i="9"/>
  <c r="R447" i="9"/>
  <c r="Q447" i="9"/>
  <c r="G447" i="9"/>
  <c r="S446" i="9"/>
  <c r="R446" i="9"/>
  <c r="Q446" i="9"/>
  <c r="S445" i="9"/>
  <c r="R445" i="9"/>
  <c r="Q445" i="9"/>
  <c r="S444" i="9"/>
  <c r="R444" i="9"/>
  <c r="Q444" i="9"/>
  <c r="G444" i="9"/>
  <c r="S443" i="9"/>
  <c r="R443" i="9"/>
  <c r="Q443" i="9"/>
  <c r="G443" i="9"/>
  <c r="S442" i="9"/>
  <c r="R442" i="9"/>
  <c r="Q442" i="9"/>
  <c r="G442" i="9"/>
  <c r="S441" i="9"/>
  <c r="R441" i="9"/>
  <c r="Q441" i="9"/>
  <c r="G441" i="9"/>
  <c r="S440" i="9"/>
  <c r="R440" i="9"/>
  <c r="Q440" i="9"/>
  <c r="G440" i="9"/>
  <c r="R439" i="9"/>
  <c r="Q439" i="9"/>
  <c r="S439" i="9" s="1"/>
  <c r="I439" i="9"/>
  <c r="S438" i="9"/>
  <c r="R438" i="9"/>
  <c r="Q438" i="9"/>
  <c r="S437" i="9"/>
  <c r="R437" i="9"/>
  <c r="Q437" i="9"/>
  <c r="S436" i="9"/>
  <c r="R436" i="9"/>
  <c r="Q436" i="9"/>
  <c r="S435" i="9"/>
  <c r="R435" i="9"/>
  <c r="Q435" i="9"/>
  <c r="S434" i="9"/>
  <c r="R434" i="9"/>
  <c r="Q434" i="9"/>
  <c r="S433" i="9"/>
  <c r="R433" i="9"/>
  <c r="Q433" i="9"/>
  <c r="S432" i="9"/>
  <c r="R432" i="9"/>
  <c r="Q432" i="9"/>
  <c r="G432" i="9"/>
  <c r="S431" i="9"/>
  <c r="R431" i="9"/>
  <c r="Q431" i="9"/>
  <c r="G431" i="9"/>
  <c r="S430" i="9"/>
  <c r="R430" i="9"/>
  <c r="Q430" i="9"/>
  <c r="S429" i="9"/>
  <c r="R429" i="9"/>
  <c r="Q429" i="9"/>
  <c r="G429" i="9"/>
  <c r="S428" i="9"/>
  <c r="R428" i="9"/>
  <c r="Q428" i="9"/>
  <c r="S427" i="9"/>
  <c r="R427" i="9"/>
  <c r="Q427" i="9"/>
  <c r="S426" i="9"/>
  <c r="R426" i="9"/>
  <c r="Q426" i="9"/>
  <c r="G426" i="9"/>
  <c r="S425" i="9"/>
  <c r="R425" i="9"/>
  <c r="Q425" i="9"/>
  <c r="G425" i="9"/>
  <c r="S424" i="9"/>
  <c r="R424" i="9"/>
  <c r="Q424" i="9"/>
  <c r="G424" i="9"/>
  <c r="R423" i="9"/>
  <c r="Q423" i="9"/>
  <c r="S423" i="9" s="1"/>
  <c r="R422" i="9"/>
  <c r="Q422" i="9"/>
  <c r="S422" i="9" s="1"/>
  <c r="S421" i="9"/>
  <c r="R421" i="9"/>
  <c r="Q421" i="9"/>
  <c r="G421" i="9"/>
  <c r="S420" i="9"/>
  <c r="R420" i="9"/>
  <c r="Q420" i="9"/>
  <c r="G420" i="9"/>
  <c r="R419" i="9"/>
  <c r="Q419" i="9"/>
  <c r="S419" i="9" s="1"/>
  <c r="S418" i="9"/>
  <c r="R418" i="9"/>
  <c r="Q418" i="9"/>
  <c r="S417" i="9"/>
  <c r="R417" i="9"/>
  <c r="Q417" i="9"/>
  <c r="S416" i="9"/>
  <c r="R416" i="9"/>
  <c r="Q416" i="9"/>
  <c r="S415" i="9"/>
  <c r="R415" i="9"/>
  <c r="Q415" i="9"/>
  <c r="S414" i="9"/>
  <c r="R414" i="9"/>
  <c r="Q414" i="9"/>
  <c r="S413" i="9"/>
  <c r="R413" i="9"/>
  <c r="Q413" i="9"/>
  <c r="G413" i="9"/>
  <c r="S412" i="9"/>
  <c r="R412" i="9"/>
  <c r="Q412" i="9"/>
  <c r="S411" i="9"/>
  <c r="R411" i="9"/>
  <c r="Q411" i="9"/>
  <c r="S410" i="9"/>
  <c r="R410" i="9"/>
  <c r="Q410" i="9"/>
  <c r="S409" i="9"/>
  <c r="R409" i="9"/>
  <c r="Q409" i="9"/>
  <c r="G409" i="9"/>
  <c r="S408" i="9"/>
  <c r="R408" i="9"/>
  <c r="Q408" i="9"/>
  <c r="G408" i="9"/>
  <c r="S407" i="9"/>
  <c r="R407" i="9"/>
  <c r="Q407" i="9"/>
  <c r="G407" i="9"/>
  <c r="S406" i="9"/>
  <c r="R406" i="9"/>
  <c r="Q406" i="9"/>
  <c r="S405" i="9"/>
  <c r="R405" i="9"/>
  <c r="Q405" i="9"/>
  <c r="R404" i="9"/>
  <c r="Q404" i="9"/>
  <c r="S404" i="9" s="1"/>
  <c r="S403" i="9"/>
  <c r="R403" i="9"/>
  <c r="Q403" i="9"/>
  <c r="S402" i="9"/>
  <c r="R402" i="9"/>
  <c r="Q402" i="9"/>
  <c r="S401" i="9"/>
  <c r="R401" i="9"/>
  <c r="Q401" i="9"/>
  <c r="G401" i="9"/>
  <c r="S400" i="9"/>
  <c r="R400" i="9"/>
  <c r="Q400" i="9"/>
  <c r="G400" i="9"/>
  <c r="S399" i="9"/>
  <c r="R399" i="9"/>
  <c r="Q399" i="9"/>
  <c r="G399" i="9"/>
  <c r="S398" i="9"/>
  <c r="R398" i="9"/>
  <c r="Q398" i="9"/>
  <c r="S397" i="9"/>
  <c r="R397" i="9"/>
  <c r="Q397" i="9"/>
  <c r="S396" i="9"/>
  <c r="R396" i="9"/>
  <c r="Q396" i="9"/>
  <c r="G396" i="9"/>
  <c r="S395" i="9"/>
  <c r="R395" i="9"/>
  <c r="Q395" i="9"/>
  <c r="G395" i="9"/>
  <c r="S394" i="9"/>
  <c r="R394" i="9"/>
  <c r="Q394" i="9"/>
  <c r="S393" i="9"/>
  <c r="R393" i="9"/>
  <c r="Q393" i="9"/>
  <c r="S392" i="9"/>
  <c r="R392" i="9"/>
  <c r="Q392" i="9"/>
  <c r="S391" i="9"/>
  <c r="R391" i="9"/>
  <c r="Q391" i="9"/>
  <c r="S390" i="9"/>
  <c r="R390" i="9"/>
  <c r="Q390" i="9"/>
  <c r="S389" i="9"/>
  <c r="R389" i="9"/>
  <c r="Q389" i="9"/>
  <c r="S388" i="9"/>
  <c r="R388" i="9"/>
  <c r="Q388" i="9"/>
  <c r="S387" i="9"/>
  <c r="R387" i="9"/>
  <c r="Q387" i="9"/>
  <c r="S386" i="9"/>
  <c r="R386" i="9"/>
  <c r="Q386" i="9"/>
  <c r="G386" i="9"/>
  <c r="S385" i="9"/>
  <c r="R385" i="9"/>
  <c r="Q385" i="9"/>
  <c r="G385" i="9"/>
  <c r="S384" i="9"/>
  <c r="R384" i="9"/>
  <c r="Q384" i="9"/>
  <c r="S383" i="9"/>
  <c r="R383" i="9"/>
  <c r="Q383" i="9"/>
  <c r="S382" i="9"/>
  <c r="R382" i="9"/>
  <c r="Q382" i="9"/>
  <c r="S381" i="9"/>
  <c r="R381" i="9"/>
  <c r="Q381" i="9"/>
  <c r="G381" i="9"/>
  <c r="S380" i="9"/>
  <c r="R380" i="9"/>
  <c r="Q380" i="9"/>
  <c r="S379" i="9"/>
  <c r="R379" i="9"/>
  <c r="Q379" i="9"/>
  <c r="S378" i="9"/>
  <c r="R378" i="9"/>
  <c r="Q378" i="9"/>
  <c r="S377" i="9"/>
  <c r="R377" i="9"/>
  <c r="Q377" i="9"/>
  <c r="G377" i="9"/>
  <c r="S376" i="9"/>
  <c r="R376" i="9"/>
  <c r="Q376" i="9"/>
  <c r="G376" i="9"/>
  <c r="S375" i="9"/>
  <c r="R375" i="9"/>
  <c r="Q375" i="9"/>
  <c r="S374" i="9"/>
  <c r="R374" i="9"/>
  <c r="Q374" i="9"/>
  <c r="I374" i="9"/>
  <c r="G374" i="9"/>
  <c r="S373" i="9"/>
  <c r="R373" i="9"/>
  <c r="Q373" i="9"/>
  <c r="S372" i="9"/>
  <c r="R372" i="9"/>
  <c r="Q372" i="9"/>
  <c r="G372" i="9"/>
  <c r="S371" i="9"/>
  <c r="R371" i="9"/>
  <c r="Q371" i="9"/>
  <c r="S370" i="9"/>
  <c r="R370" i="9"/>
  <c r="Q370" i="9"/>
  <c r="S369" i="9"/>
  <c r="R369" i="9"/>
  <c r="Q369" i="9"/>
  <c r="S368" i="9"/>
  <c r="R368" i="9"/>
  <c r="Q368" i="9"/>
  <c r="G368" i="9"/>
  <c r="S367" i="9"/>
  <c r="R367" i="9"/>
  <c r="Q367" i="9"/>
  <c r="G367" i="9"/>
  <c r="S366" i="9"/>
  <c r="R366" i="9"/>
  <c r="Q366" i="9"/>
  <c r="G366" i="9"/>
  <c r="S365" i="9"/>
  <c r="R365" i="9"/>
  <c r="Q365" i="9"/>
  <c r="S364" i="9"/>
  <c r="R364" i="9"/>
  <c r="Q364" i="9"/>
  <c r="S363" i="9"/>
  <c r="R363" i="9"/>
  <c r="Q363" i="9"/>
  <c r="S362" i="9"/>
  <c r="R362" i="9"/>
  <c r="Q362" i="9"/>
  <c r="S361" i="9"/>
  <c r="R361" i="9"/>
  <c r="Q361" i="9"/>
  <c r="R360" i="9"/>
  <c r="Q360" i="9"/>
  <c r="S360" i="9" s="1"/>
  <c r="S359" i="9"/>
  <c r="R359" i="9"/>
  <c r="Q359" i="9"/>
  <c r="G359" i="9"/>
  <c r="S358" i="9"/>
  <c r="R358" i="9"/>
  <c r="Q358" i="9"/>
  <c r="G358" i="9"/>
  <c r="S357" i="9"/>
  <c r="R357" i="9"/>
  <c r="Q357" i="9"/>
  <c r="S356" i="9"/>
  <c r="R356" i="9"/>
  <c r="Q356" i="9"/>
  <c r="S355" i="9"/>
  <c r="R355" i="9"/>
  <c r="Q355" i="9"/>
  <c r="S354" i="9"/>
  <c r="R354" i="9"/>
  <c r="Q354" i="9"/>
  <c r="R353" i="9"/>
  <c r="Q353" i="9"/>
  <c r="S353" i="9" s="1"/>
  <c r="I353" i="9"/>
  <c r="S352" i="9"/>
  <c r="R352" i="9"/>
  <c r="Q352" i="9"/>
  <c r="I352" i="9"/>
  <c r="S351" i="9"/>
  <c r="R351" i="9"/>
  <c r="Q351" i="9"/>
  <c r="G351" i="9"/>
  <c r="S350" i="9"/>
  <c r="R350" i="9"/>
  <c r="Q350" i="9"/>
  <c r="I350" i="9"/>
  <c r="G350" i="9"/>
  <c r="S349" i="9"/>
  <c r="R349" i="9"/>
  <c r="Q349" i="9"/>
  <c r="G349" i="9"/>
  <c r="R348" i="9"/>
  <c r="Q348" i="9"/>
  <c r="S348" i="9" s="1"/>
  <c r="S347" i="9"/>
  <c r="R347" i="9"/>
  <c r="Q347" i="9"/>
  <c r="G347" i="9"/>
  <c r="S346" i="9"/>
  <c r="R346" i="9"/>
  <c r="Q346" i="9"/>
  <c r="S345" i="9"/>
  <c r="R345" i="9"/>
  <c r="Q345" i="9"/>
  <c r="G345" i="9"/>
  <c r="S344" i="9"/>
  <c r="R344" i="9"/>
  <c r="Q344" i="9"/>
  <c r="G344" i="9"/>
  <c r="S343" i="9"/>
  <c r="R343" i="9"/>
  <c r="Q343" i="9"/>
  <c r="S342" i="9"/>
  <c r="R342" i="9"/>
  <c r="Q342" i="9"/>
  <c r="G342" i="9"/>
  <c r="S341" i="9"/>
  <c r="R341" i="9"/>
  <c r="Q341" i="9"/>
  <c r="G341" i="9"/>
  <c r="S340" i="9"/>
  <c r="R340" i="9"/>
  <c r="Q340" i="9"/>
  <c r="S339" i="9"/>
  <c r="R339" i="9"/>
  <c r="Q339" i="9"/>
  <c r="G339" i="9"/>
  <c r="S338" i="9"/>
  <c r="R338" i="9"/>
  <c r="Q338" i="9"/>
  <c r="G338" i="9"/>
  <c r="R337" i="9"/>
  <c r="Q337" i="9"/>
  <c r="S337" i="9" s="1"/>
  <c r="I337" i="9"/>
  <c r="R336" i="9"/>
  <c r="Q336" i="9"/>
  <c r="S336" i="9" s="1"/>
  <c r="S335" i="9"/>
  <c r="R335" i="9"/>
  <c r="Q335" i="9"/>
  <c r="S334" i="9"/>
  <c r="R334" i="9"/>
  <c r="Q334" i="9"/>
  <c r="G334" i="9"/>
  <c r="S333" i="9"/>
  <c r="R333" i="9"/>
  <c r="Q333" i="9"/>
  <c r="G333" i="9"/>
  <c r="S332" i="9"/>
  <c r="R332" i="9"/>
  <c r="Q332" i="9"/>
  <c r="G332" i="9"/>
  <c r="S331" i="9"/>
  <c r="R331" i="9"/>
  <c r="Q331" i="9"/>
  <c r="I331" i="9"/>
  <c r="S330" i="9"/>
  <c r="R330" i="9"/>
  <c r="Q330" i="9"/>
  <c r="S329" i="9"/>
  <c r="R329" i="9"/>
  <c r="Q329" i="9"/>
  <c r="S328" i="9"/>
  <c r="R328" i="9"/>
  <c r="Q328" i="9"/>
  <c r="S327" i="9"/>
  <c r="R327" i="9"/>
  <c r="Q327" i="9"/>
  <c r="S326" i="9"/>
  <c r="R326" i="9"/>
  <c r="Q326" i="9"/>
  <c r="S325" i="9"/>
  <c r="R325" i="9"/>
  <c r="Q325" i="9"/>
  <c r="S324" i="9"/>
  <c r="R324" i="9"/>
  <c r="Q324" i="9"/>
  <c r="G324" i="9"/>
  <c r="S323" i="9"/>
  <c r="R323" i="9"/>
  <c r="Q323" i="9"/>
  <c r="S322" i="9"/>
  <c r="R322" i="9"/>
  <c r="Q322" i="9"/>
  <c r="G322" i="9"/>
  <c r="S321" i="9"/>
  <c r="R321" i="9"/>
  <c r="Q321" i="9"/>
  <c r="S320" i="9"/>
  <c r="R320" i="9"/>
  <c r="Q320" i="9"/>
  <c r="S319" i="9"/>
  <c r="R319" i="9"/>
  <c r="Q319" i="9"/>
  <c r="G319" i="9"/>
  <c r="S318" i="9"/>
  <c r="R318" i="9"/>
  <c r="Q318" i="9"/>
  <c r="G318" i="9"/>
  <c r="S317" i="9"/>
  <c r="R317" i="9"/>
  <c r="Q317" i="9"/>
  <c r="G317" i="9"/>
  <c r="S316" i="9"/>
  <c r="R316" i="9"/>
  <c r="Q316" i="9"/>
  <c r="S315" i="9"/>
  <c r="R315" i="9"/>
  <c r="Q315" i="9"/>
  <c r="S314" i="9"/>
  <c r="R314" i="9"/>
  <c r="Q314" i="9"/>
  <c r="G314" i="9"/>
  <c r="S313" i="9"/>
  <c r="R313" i="9"/>
  <c r="Q313" i="9"/>
  <c r="G313" i="9"/>
  <c r="S312" i="9"/>
  <c r="R312" i="9"/>
  <c r="Q312" i="9"/>
  <c r="S311" i="9"/>
  <c r="R311" i="9"/>
  <c r="Q311" i="9"/>
  <c r="S310" i="9"/>
  <c r="R310" i="9"/>
  <c r="Q310" i="9"/>
  <c r="S309" i="9"/>
  <c r="R309" i="9"/>
  <c r="Q309" i="9"/>
  <c r="I309" i="9"/>
  <c r="G309" i="9"/>
  <c r="S308" i="9"/>
  <c r="R308" i="9"/>
  <c r="Q308" i="9"/>
  <c r="S307" i="9"/>
  <c r="R307" i="9"/>
  <c r="Q307" i="9"/>
  <c r="G307" i="9"/>
  <c r="S306" i="9"/>
  <c r="R306" i="9"/>
  <c r="Q306" i="9"/>
  <c r="G306" i="9"/>
  <c r="S305" i="9"/>
  <c r="R305" i="9"/>
  <c r="Q305" i="9"/>
  <c r="S304" i="9"/>
  <c r="R304" i="9"/>
  <c r="Q304" i="9"/>
  <c r="S303" i="9"/>
  <c r="R303" i="9"/>
  <c r="Q303" i="9"/>
  <c r="S302" i="9"/>
  <c r="R302" i="9"/>
  <c r="Q302" i="9"/>
  <c r="S301" i="9"/>
  <c r="R301" i="9"/>
  <c r="Q301" i="9"/>
  <c r="S300" i="9"/>
  <c r="R300" i="9"/>
  <c r="Q300" i="9"/>
  <c r="S299" i="9"/>
  <c r="R299" i="9"/>
  <c r="Q299" i="9"/>
  <c r="S298" i="9"/>
  <c r="R298" i="9"/>
  <c r="Q298" i="9"/>
  <c r="G298" i="9"/>
  <c r="S297" i="9"/>
  <c r="R297" i="9"/>
  <c r="Q297" i="9"/>
  <c r="S296" i="9"/>
  <c r="R296" i="9"/>
  <c r="Q296" i="9"/>
  <c r="S295" i="9"/>
  <c r="R295" i="9"/>
  <c r="Q295" i="9"/>
  <c r="R294" i="9"/>
  <c r="Q294" i="9"/>
  <c r="S294" i="9" s="1"/>
  <c r="R293" i="9"/>
  <c r="Q293" i="9"/>
  <c r="S293" i="9" s="1"/>
  <c r="R292" i="9"/>
  <c r="Q292" i="9"/>
  <c r="S292" i="9" s="1"/>
  <c r="S291" i="9"/>
  <c r="R291" i="9"/>
  <c r="Q291" i="9"/>
  <c r="G291" i="9"/>
  <c r="S290" i="9"/>
  <c r="R290" i="9"/>
  <c r="Q290" i="9"/>
  <c r="S289" i="9"/>
  <c r="R289" i="9"/>
  <c r="Q289" i="9"/>
  <c r="S288" i="9"/>
  <c r="R288" i="9"/>
  <c r="Q288" i="9"/>
  <c r="S287" i="9"/>
  <c r="R287" i="9"/>
  <c r="Q287" i="9"/>
  <c r="G287" i="9"/>
  <c r="S286" i="9"/>
  <c r="R286" i="9"/>
  <c r="Q286" i="9"/>
  <c r="G286" i="9"/>
  <c r="S285" i="9"/>
  <c r="R285" i="9"/>
  <c r="Q285" i="9"/>
  <c r="G285" i="9"/>
  <c r="S284" i="9"/>
  <c r="R284" i="9"/>
  <c r="Q284" i="9"/>
  <c r="G284" i="9"/>
  <c r="S283" i="9"/>
  <c r="R283" i="9"/>
  <c r="Q283" i="9"/>
  <c r="G283" i="9"/>
  <c r="S282" i="9"/>
  <c r="R282" i="9"/>
  <c r="Q282" i="9"/>
  <c r="S281" i="9"/>
  <c r="R281" i="9"/>
  <c r="Q281" i="9"/>
  <c r="S280" i="9"/>
  <c r="R280" i="9"/>
  <c r="Q280" i="9"/>
  <c r="S279" i="9"/>
  <c r="R279" i="9"/>
  <c r="Q279" i="9"/>
  <c r="S278" i="9"/>
  <c r="R278" i="9"/>
  <c r="Q278" i="9"/>
  <c r="S277" i="9"/>
  <c r="R277" i="9"/>
  <c r="Q277" i="9"/>
  <c r="S276" i="9"/>
  <c r="R276" i="9"/>
  <c r="Q276" i="9"/>
  <c r="S275" i="9"/>
  <c r="R275" i="9"/>
  <c r="Q275" i="9"/>
  <c r="S274" i="9"/>
  <c r="R274" i="9"/>
  <c r="Q274" i="9"/>
  <c r="G274" i="9"/>
  <c r="S273" i="9"/>
  <c r="R273" i="9"/>
  <c r="Q273" i="9"/>
  <c r="S272" i="9"/>
  <c r="R272" i="9"/>
  <c r="Q272" i="9"/>
  <c r="S271" i="9"/>
  <c r="R271" i="9"/>
  <c r="Q271" i="9"/>
  <c r="S270" i="9"/>
  <c r="R270" i="9"/>
  <c r="Q270" i="9"/>
  <c r="G270" i="9"/>
  <c r="S269" i="9"/>
  <c r="R269" i="9"/>
  <c r="Q269" i="9"/>
  <c r="G269" i="9"/>
  <c r="S268" i="9"/>
  <c r="R268" i="9"/>
  <c r="Q268" i="9"/>
  <c r="I268" i="9"/>
  <c r="G268" i="9"/>
  <c r="S267" i="9"/>
  <c r="R267" i="9"/>
  <c r="Q267" i="9"/>
  <c r="S266" i="9"/>
  <c r="R266" i="9"/>
  <c r="Q266" i="9"/>
  <c r="S265" i="9"/>
  <c r="R265" i="9"/>
  <c r="Q265" i="9"/>
  <c r="S264" i="9"/>
  <c r="R264" i="9"/>
  <c r="Q264" i="9"/>
  <c r="G264" i="9"/>
  <c r="S263" i="9"/>
  <c r="R263" i="9"/>
  <c r="Q263" i="9"/>
  <c r="G263" i="9"/>
  <c r="S262" i="9"/>
  <c r="R262" i="9"/>
  <c r="Q262" i="9"/>
  <c r="G262" i="9"/>
  <c r="S261" i="9"/>
  <c r="R261" i="9"/>
  <c r="Q261" i="9"/>
  <c r="S260" i="9"/>
  <c r="R260" i="9"/>
  <c r="Q260" i="9"/>
  <c r="S259" i="9"/>
  <c r="R259" i="9"/>
  <c r="Q259" i="9"/>
  <c r="S258" i="9"/>
  <c r="R258" i="9"/>
  <c r="Q258" i="9"/>
  <c r="G258" i="9"/>
  <c r="S257" i="9"/>
  <c r="R257" i="9"/>
  <c r="Q257" i="9"/>
  <c r="G257" i="9"/>
  <c r="R256" i="9"/>
  <c r="Q256" i="9"/>
  <c r="S256" i="9" s="1"/>
  <c r="S255" i="9"/>
  <c r="R255" i="9"/>
  <c r="Q255" i="9"/>
  <c r="G255" i="9"/>
  <c r="S254" i="9"/>
  <c r="R254" i="9"/>
  <c r="Q254" i="9"/>
  <c r="S253" i="9"/>
  <c r="R253" i="9"/>
  <c r="Q253" i="9"/>
  <c r="S252" i="9"/>
  <c r="R252" i="9"/>
  <c r="Q252" i="9"/>
  <c r="S251" i="9"/>
  <c r="R251" i="9"/>
  <c r="Q251" i="9"/>
  <c r="S250" i="9"/>
  <c r="R250" i="9"/>
  <c r="Q250" i="9"/>
  <c r="G250" i="9"/>
  <c r="S249" i="9"/>
  <c r="R249" i="9"/>
  <c r="Q249" i="9"/>
  <c r="S248" i="9"/>
  <c r="R248" i="9"/>
  <c r="Q248" i="9"/>
  <c r="S247" i="9"/>
  <c r="R247" i="9"/>
  <c r="Q247" i="9"/>
  <c r="S246" i="9"/>
  <c r="R246" i="9"/>
  <c r="Q246" i="9"/>
  <c r="S245" i="9"/>
  <c r="R245" i="9"/>
  <c r="Q245" i="9"/>
  <c r="G245" i="9"/>
  <c r="S244" i="9"/>
  <c r="R244" i="9"/>
  <c r="Q244" i="9"/>
  <c r="G244" i="9"/>
  <c r="S243" i="9"/>
  <c r="R243" i="9"/>
  <c r="Q243" i="9"/>
  <c r="S242" i="9"/>
  <c r="R242" i="9"/>
  <c r="Q242" i="9"/>
  <c r="S241" i="9"/>
  <c r="R241" i="9"/>
  <c r="Q241" i="9"/>
  <c r="G241" i="9"/>
  <c r="S240" i="9"/>
  <c r="R240" i="9"/>
  <c r="Q240" i="9"/>
  <c r="G240" i="9"/>
  <c r="S239" i="9"/>
  <c r="R239" i="9"/>
  <c r="Q239" i="9"/>
  <c r="S238" i="9"/>
  <c r="R238" i="9"/>
  <c r="Q238" i="9"/>
  <c r="G238" i="9"/>
  <c r="S237" i="9"/>
  <c r="R237" i="9"/>
  <c r="Q237" i="9"/>
  <c r="I237" i="9"/>
  <c r="G237" i="9"/>
  <c r="S236" i="9"/>
  <c r="R236" i="9"/>
  <c r="Q236" i="9"/>
  <c r="S235" i="9"/>
  <c r="R235" i="9"/>
  <c r="Q235" i="9"/>
  <c r="S234" i="9"/>
  <c r="R234" i="9"/>
  <c r="Q234" i="9"/>
  <c r="G234" i="9"/>
  <c r="S233" i="9"/>
  <c r="R233" i="9"/>
  <c r="Q233" i="9"/>
  <c r="G233" i="9"/>
  <c r="S232" i="9"/>
  <c r="R232" i="9"/>
  <c r="Q232" i="9"/>
  <c r="G232" i="9"/>
  <c r="S231" i="9"/>
  <c r="R231" i="9"/>
  <c r="Q231" i="9"/>
  <c r="S230" i="9"/>
  <c r="R230" i="9"/>
  <c r="Q230" i="9"/>
  <c r="S229" i="9"/>
  <c r="R229" i="9"/>
  <c r="Q229" i="9"/>
  <c r="S228" i="9"/>
  <c r="R228" i="9"/>
  <c r="Q228" i="9"/>
  <c r="G228" i="9"/>
  <c r="S227" i="9"/>
  <c r="R227" i="9"/>
  <c r="Q227" i="9"/>
  <c r="G227" i="9"/>
  <c r="S226" i="9"/>
  <c r="R226" i="9"/>
  <c r="Q226" i="9"/>
  <c r="G226" i="9"/>
  <c r="R225" i="9"/>
  <c r="Q225" i="9"/>
  <c r="S225" i="9" s="1"/>
  <c r="S224" i="9"/>
  <c r="R224" i="9"/>
  <c r="Q224" i="9"/>
  <c r="S223" i="9"/>
  <c r="R223" i="9"/>
  <c r="Q223" i="9"/>
  <c r="S222" i="9"/>
  <c r="R222" i="9"/>
  <c r="Q222" i="9"/>
  <c r="S221" i="9"/>
  <c r="R221" i="9"/>
  <c r="Q221" i="9"/>
  <c r="S220" i="9"/>
  <c r="R220" i="9"/>
  <c r="Q220" i="9"/>
  <c r="S219" i="9"/>
  <c r="R219" i="9"/>
  <c r="Q219" i="9"/>
  <c r="S218" i="9"/>
  <c r="R218" i="9"/>
  <c r="Q218" i="9"/>
  <c r="S217" i="9"/>
  <c r="R217" i="9"/>
  <c r="Q217" i="9"/>
  <c r="G217" i="9"/>
  <c r="S216" i="9"/>
  <c r="R216" i="9"/>
  <c r="Q216" i="9"/>
  <c r="G216" i="9"/>
  <c r="S215" i="9"/>
  <c r="R215" i="9"/>
  <c r="Q215" i="9"/>
  <c r="G215" i="9"/>
  <c r="S214" i="9"/>
  <c r="R214" i="9"/>
  <c r="Q214" i="9"/>
  <c r="S213" i="9"/>
  <c r="R213" i="9"/>
  <c r="Q213" i="9"/>
  <c r="S212" i="9"/>
  <c r="R212" i="9"/>
  <c r="Q212" i="9"/>
  <c r="G212" i="9"/>
  <c r="S211" i="9"/>
  <c r="R211" i="9"/>
  <c r="Q211" i="9"/>
  <c r="G211" i="9"/>
  <c r="S210" i="9"/>
  <c r="R210" i="9"/>
  <c r="Q210" i="9"/>
  <c r="S209" i="9"/>
  <c r="R209" i="9"/>
  <c r="Q209" i="9"/>
  <c r="I209" i="9"/>
  <c r="G209" i="9"/>
  <c r="S208" i="9"/>
  <c r="R208" i="9"/>
  <c r="Q208" i="9"/>
  <c r="S207" i="9"/>
  <c r="R207" i="9"/>
  <c r="Q207" i="9"/>
  <c r="S206" i="9"/>
  <c r="R206" i="9"/>
  <c r="Q206" i="9"/>
  <c r="S205" i="9"/>
  <c r="R205" i="9"/>
  <c r="Q205" i="9"/>
  <c r="G205" i="9"/>
  <c r="S204" i="9"/>
  <c r="R204" i="9"/>
  <c r="Q204" i="9"/>
  <c r="G204" i="9"/>
  <c r="S203" i="9"/>
  <c r="R203" i="9"/>
  <c r="Q203" i="9"/>
  <c r="G203" i="9"/>
  <c r="S202" i="9"/>
  <c r="R202" i="9"/>
  <c r="Q202" i="9"/>
  <c r="G202" i="9"/>
  <c r="S201" i="9"/>
  <c r="R201" i="9"/>
  <c r="Q201" i="9"/>
  <c r="S200" i="9"/>
  <c r="R200" i="9"/>
  <c r="Q200" i="9"/>
  <c r="S199" i="9"/>
  <c r="R199" i="9"/>
  <c r="Q199" i="9"/>
  <c r="G199" i="9"/>
  <c r="S198" i="9"/>
  <c r="R198" i="9"/>
  <c r="Q198" i="9"/>
  <c r="G198" i="9"/>
  <c r="S197" i="9"/>
  <c r="R197" i="9"/>
  <c r="Q197" i="9"/>
  <c r="S196" i="9"/>
  <c r="R196" i="9"/>
  <c r="Q196" i="9"/>
  <c r="S195" i="9"/>
  <c r="R195" i="9"/>
  <c r="Q195" i="9"/>
  <c r="S194" i="9"/>
  <c r="R194" i="9"/>
  <c r="Q194" i="9"/>
  <c r="G194" i="9"/>
  <c r="S193" i="9"/>
  <c r="R193" i="9"/>
  <c r="Q193" i="9"/>
  <c r="R192" i="9"/>
  <c r="Q192" i="9"/>
  <c r="S192" i="9" s="1"/>
  <c r="S191" i="9"/>
  <c r="R191" i="9"/>
  <c r="Q191" i="9"/>
  <c r="R190" i="9"/>
  <c r="Q190" i="9"/>
  <c r="S190" i="9" s="1"/>
  <c r="S189" i="9"/>
  <c r="R189" i="9"/>
  <c r="Q189" i="9"/>
  <c r="G189" i="9"/>
  <c r="S188" i="9"/>
  <c r="R188" i="9"/>
  <c r="Q188" i="9"/>
  <c r="G188" i="9"/>
  <c r="S187" i="9"/>
  <c r="R187" i="9"/>
  <c r="Q187" i="9"/>
  <c r="I187" i="9"/>
  <c r="S186" i="9"/>
  <c r="R186" i="9"/>
  <c r="Q186" i="9"/>
  <c r="S185" i="9"/>
  <c r="R185" i="9"/>
  <c r="Q185" i="9"/>
  <c r="S184" i="9"/>
  <c r="R184" i="9"/>
  <c r="Q184" i="9"/>
  <c r="S183" i="9"/>
  <c r="R183" i="9"/>
  <c r="Q183" i="9"/>
  <c r="S182" i="9"/>
  <c r="R182" i="9"/>
  <c r="Q182" i="9"/>
  <c r="S181" i="9"/>
  <c r="R181" i="9"/>
  <c r="Q181" i="9"/>
  <c r="G181" i="9"/>
  <c r="S180" i="9"/>
  <c r="R180" i="9"/>
  <c r="Q180" i="9"/>
  <c r="S179" i="9"/>
  <c r="R179" i="9"/>
  <c r="Q179" i="9"/>
  <c r="G179" i="9"/>
  <c r="S178" i="9"/>
  <c r="R178" i="9"/>
  <c r="Q178" i="9"/>
  <c r="S177" i="9"/>
  <c r="R177" i="9"/>
  <c r="Q177" i="9"/>
  <c r="S176" i="9"/>
  <c r="R176" i="9"/>
  <c r="Q176" i="9"/>
  <c r="S175" i="9"/>
  <c r="R175" i="9"/>
  <c r="Q175" i="9"/>
  <c r="S174" i="9"/>
  <c r="R174" i="9"/>
  <c r="Q174" i="9"/>
  <c r="S173" i="9"/>
  <c r="R173" i="9"/>
  <c r="Q173" i="9"/>
  <c r="G173" i="9"/>
  <c r="S172" i="9"/>
  <c r="R172" i="9"/>
  <c r="Q172" i="9"/>
  <c r="G172" i="9"/>
  <c r="S171" i="9"/>
  <c r="R171" i="9"/>
  <c r="Q171" i="9"/>
  <c r="G171" i="9"/>
  <c r="S170" i="9"/>
  <c r="R170" i="9"/>
  <c r="Q170" i="9"/>
  <c r="G170" i="9"/>
  <c r="S169" i="9"/>
  <c r="R169" i="9"/>
  <c r="Q169" i="9"/>
  <c r="G169" i="9"/>
  <c r="S168" i="9"/>
  <c r="R168" i="9"/>
  <c r="Q168" i="9"/>
  <c r="S167" i="9"/>
  <c r="R167" i="9"/>
  <c r="Q167" i="9"/>
  <c r="S166" i="9"/>
  <c r="R166" i="9"/>
  <c r="Q166" i="9"/>
  <c r="S165" i="9"/>
  <c r="R165" i="9"/>
  <c r="Q165" i="9"/>
  <c r="S164" i="9"/>
  <c r="R164" i="9"/>
  <c r="Q164" i="9"/>
  <c r="I164" i="9"/>
  <c r="G164" i="9"/>
  <c r="S163" i="9"/>
  <c r="R163" i="9"/>
  <c r="Q163" i="9"/>
  <c r="G163" i="9"/>
  <c r="S162" i="9"/>
  <c r="R162" i="9"/>
  <c r="Q162" i="9"/>
  <c r="G162" i="9"/>
  <c r="S161" i="9"/>
  <c r="R161" i="9"/>
  <c r="Q161" i="9"/>
  <c r="G161" i="9"/>
  <c r="S160" i="9"/>
  <c r="R160" i="9"/>
  <c r="Q160" i="9"/>
  <c r="R159" i="9"/>
  <c r="Q159" i="9"/>
  <c r="S159" i="9" s="1"/>
  <c r="S158" i="9"/>
  <c r="R158" i="9"/>
  <c r="Q158" i="9"/>
  <c r="G158" i="9"/>
  <c r="S157" i="9"/>
  <c r="R157" i="9"/>
  <c r="Q157" i="9"/>
  <c r="G157" i="9"/>
  <c r="S156" i="9"/>
  <c r="R156" i="9"/>
  <c r="Q156" i="9"/>
  <c r="G156" i="9"/>
  <c r="S155" i="9"/>
  <c r="R155" i="9"/>
  <c r="Q155" i="9"/>
  <c r="G155" i="9"/>
  <c r="S154" i="9"/>
  <c r="R154" i="9"/>
  <c r="Q154" i="9"/>
  <c r="G154" i="9"/>
  <c r="S153" i="9"/>
  <c r="R153" i="9"/>
  <c r="Q153" i="9"/>
  <c r="S152" i="9"/>
  <c r="R152" i="9"/>
  <c r="Q152" i="9"/>
  <c r="S151" i="9"/>
  <c r="R151" i="9"/>
  <c r="Q151" i="9"/>
  <c r="G151" i="9"/>
  <c r="S150" i="9"/>
  <c r="R150" i="9"/>
  <c r="Q150" i="9"/>
  <c r="G150" i="9"/>
  <c r="S149" i="9"/>
  <c r="R149" i="9"/>
  <c r="Q149" i="9"/>
  <c r="G149" i="9"/>
  <c r="S148" i="9"/>
  <c r="R148" i="9"/>
  <c r="Q148" i="9"/>
  <c r="G148" i="9"/>
  <c r="S147" i="9"/>
  <c r="R147" i="9"/>
  <c r="Q147" i="9"/>
  <c r="S146" i="9"/>
  <c r="R146" i="9"/>
  <c r="Q146" i="9"/>
  <c r="G146" i="9"/>
  <c r="S145" i="9"/>
  <c r="R145" i="9"/>
  <c r="Q145" i="9"/>
  <c r="I145" i="9"/>
  <c r="G145" i="9"/>
  <c r="S144" i="9"/>
  <c r="R144" i="9"/>
  <c r="Q144" i="9"/>
  <c r="G144" i="9"/>
  <c r="S143" i="9"/>
  <c r="R143" i="9"/>
  <c r="Q143" i="9"/>
  <c r="G143" i="9"/>
  <c r="S142" i="9"/>
  <c r="R142" i="9"/>
  <c r="Q142" i="9"/>
  <c r="S141" i="9"/>
  <c r="R141" i="9"/>
  <c r="Q141" i="9"/>
  <c r="S140" i="9"/>
  <c r="R140" i="9"/>
  <c r="Q140" i="9"/>
  <c r="S139" i="9"/>
  <c r="R139" i="9"/>
  <c r="Q139" i="9"/>
  <c r="S138" i="9"/>
  <c r="R138" i="9"/>
  <c r="Q138" i="9"/>
  <c r="S137" i="9"/>
  <c r="R137" i="9"/>
  <c r="Q137" i="9"/>
  <c r="G137" i="9"/>
  <c r="S136" i="9"/>
  <c r="R136" i="9"/>
  <c r="Q136" i="9"/>
  <c r="I136" i="9"/>
  <c r="G136" i="9"/>
  <c r="S135" i="9"/>
  <c r="R135" i="9"/>
  <c r="Q135" i="9"/>
  <c r="G135" i="9"/>
  <c r="S134" i="9"/>
  <c r="R134" i="9"/>
  <c r="Q134" i="9"/>
  <c r="G134" i="9"/>
  <c r="S133" i="9"/>
  <c r="R133" i="9"/>
  <c r="Q133" i="9"/>
  <c r="G133" i="9"/>
  <c r="S132" i="9"/>
  <c r="R132" i="9"/>
  <c r="Q132" i="9"/>
  <c r="S131" i="9"/>
  <c r="R131" i="9"/>
  <c r="Q131" i="9"/>
  <c r="G131" i="9"/>
  <c r="S130" i="9"/>
  <c r="R130" i="9"/>
  <c r="Q130" i="9"/>
  <c r="S129" i="9"/>
  <c r="R129" i="9"/>
  <c r="Q129" i="9"/>
  <c r="G129" i="9"/>
  <c r="S128" i="9"/>
  <c r="R128" i="9"/>
  <c r="Q128" i="9"/>
  <c r="S127" i="9"/>
  <c r="R127" i="9"/>
  <c r="Q127" i="9"/>
  <c r="S126" i="9"/>
  <c r="R126" i="9"/>
  <c r="Q126" i="9"/>
  <c r="S125" i="9"/>
  <c r="R125" i="9"/>
  <c r="Q125" i="9"/>
  <c r="S124" i="9"/>
  <c r="R124" i="9"/>
  <c r="Q124" i="9"/>
  <c r="S123" i="9"/>
  <c r="R123" i="9"/>
  <c r="Q123" i="9"/>
  <c r="S122" i="9"/>
  <c r="R122" i="9"/>
  <c r="Q122" i="9"/>
  <c r="S121" i="9"/>
  <c r="R121" i="9"/>
  <c r="Q121" i="9"/>
  <c r="S120" i="9"/>
  <c r="R120" i="9"/>
  <c r="Q120" i="9"/>
  <c r="S119" i="9"/>
  <c r="R119" i="9"/>
  <c r="Q119" i="9"/>
  <c r="S118" i="9"/>
  <c r="R118" i="9"/>
  <c r="Q118" i="9"/>
  <c r="S117" i="9"/>
  <c r="R117" i="9"/>
  <c r="Q117" i="9"/>
  <c r="G117" i="9"/>
  <c r="S116" i="9"/>
  <c r="R116" i="9"/>
  <c r="Q116" i="9"/>
  <c r="G116" i="9"/>
  <c r="S115" i="9"/>
  <c r="R115" i="9"/>
  <c r="Q115" i="9"/>
  <c r="G115" i="9"/>
  <c r="S114" i="9"/>
  <c r="R114" i="9"/>
  <c r="Q114" i="9"/>
  <c r="G114" i="9"/>
  <c r="S113" i="9"/>
  <c r="R113" i="9"/>
  <c r="Q113" i="9"/>
  <c r="I113" i="9"/>
  <c r="S112" i="9"/>
  <c r="R112" i="9"/>
  <c r="Q112" i="9"/>
  <c r="G112" i="9"/>
  <c r="S111" i="9"/>
  <c r="R111" i="9"/>
  <c r="Q111" i="9"/>
  <c r="S110" i="9"/>
  <c r="R110" i="9"/>
  <c r="Q110" i="9"/>
  <c r="S109" i="9"/>
  <c r="R109" i="9"/>
  <c r="Q109" i="9"/>
  <c r="S108" i="9"/>
  <c r="R108" i="9"/>
  <c r="Q108" i="9"/>
  <c r="S107" i="9"/>
  <c r="R107" i="9"/>
  <c r="Q107" i="9"/>
  <c r="S106" i="9"/>
  <c r="R106" i="9"/>
  <c r="Q106" i="9"/>
  <c r="S105" i="9"/>
  <c r="R105" i="9"/>
  <c r="Q105" i="9"/>
  <c r="S104" i="9"/>
  <c r="R104" i="9"/>
  <c r="Q104" i="9"/>
  <c r="S103" i="9"/>
  <c r="R103" i="9"/>
  <c r="Q103" i="9"/>
  <c r="S102" i="9"/>
  <c r="R102" i="9"/>
  <c r="Q102" i="9"/>
  <c r="S101" i="9"/>
  <c r="R101" i="9"/>
  <c r="Q101" i="9"/>
  <c r="S100" i="9"/>
  <c r="R100" i="9"/>
  <c r="Q100" i="9"/>
  <c r="S99" i="9"/>
  <c r="R99" i="9"/>
  <c r="Q99" i="9"/>
  <c r="G99" i="9"/>
  <c r="S98" i="9"/>
  <c r="R98" i="9"/>
  <c r="Q98" i="9"/>
  <c r="G98" i="9"/>
  <c r="S97" i="9"/>
  <c r="R97" i="9"/>
  <c r="Q97" i="9"/>
  <c r="G97" i="9"/>
  <c r="S96" i="9"/>
  <c r="R96" i="9"/>
  <c r="Q96" i="9"/>
  <c r="G96" i="9"/>
  <c r="S95" i="9"/>
  <c r="R95" i="9"/>
  <c r="Q95" i="9"/>
  <c r="G95" i="9"/>
  <c r="S94" i="9"/>
  <c r="R94" i="9"/>
  <c r="Q94" i="9"/>
  <c r="G94" i="9"/>
  <c r="S93" i="9"/>
  <c r="R93" i="9"/>
  <c r="Q93" i="9"/>
  <c r="S92" i="9"/>
  <c r="R92" i="9"/>
  <c r="Q92" i="9"/>
  <c r="S91" i="9"/>
  <c r="R91" i="9"/>
  <c r="Q91" i="9"/>
  <c r="S90" i="9"/>
  <c r="R90" i="9"/>
  <c r="Q90" i="9"/>
  <c r="G90" i="9"/>
  <c r="S89" i="9"/>
  <c r="R89" i="9"/>
  <c r="Q89" i="9"/>
  <c r="S88" i="9"/>
  <c r="R88" i="9"/>
  <c r="Q88" i="9"/>
  <c r="S87" i="9"/>
  <c r="R87" i="9"/>
  <c r="Q87" i="9"/>
  <c r="G87" i="9"/>
  <c r="S86" i="9"/>
  <c r="R86" i="9"/>
  <c r="Q86" i="9"/>
  <c r="S85" i="9"/>
  <c r="R85" i="9"/>
  <c r="Q85" i="9"/>
  <c r="G85" i="9"/>
  <c r="S84" i="9"/>
  <c r="R84" i="9"/>
  <c r="Q84" i="9"/>
  <c r="G84" i="9"/>
  <c r="S83" i="9"/>
  <c r="R83" i="9"/>
  <c r="Q83" i="9"/>
  <c r="G83" i="9"/>
  <c r="S82" i="9"/>
  <c r="R82" i="9"/>
  <c r="Q82" i="9"/>
  <c r="S81" i="9"/>
  <c r="R81" i="9"/>
  <c r="Q81" i="9"/>
  <c r="S80" i="9"/>
  <c r="R80" i="9"/>
  <c r="Q80" i="9"/>
  <c r="G80" i="9"/>
  <c r="S79" i="9"/>
  <c r="R79" i="9"/>
  <c r="Q79" i="9"/>
  <c r="G79" i="9"/>
  <c r="S78" i="9"/>
  <c r="R78" i="9"/>
  <c r="Q78" i="9"/>
  <c r="G78" i="9"/>
  <c r="S77" i="9"/>
  <c r="R77" i="9"/>
  <c r="Q77" i="9"/>
  <c r="S76" i="9"/>
  <c r="R76" i="9"/>
  <c r="Q76" i="9"/>
  <c r="S75" i="9"/>
  <c r="R75" i="9"/>
  <c r="Q75" i="9"/>
  <c r="G75" i="9"/>
  <c r="S74" i="9"/>
  <c r="R74" i="9"/>
  <c r="Q74" i="9"/>
  <c r="R73" i="9"/>
  <c r="Q73" i="9"/>
  <c r="S73" i="9" s="1"/>
  <c r="R72" i="9"/>
  <c r="Q72" i="9"/>
  <c r="S72" i="9" s="1"/>
  <c r="S71" i="9"/>
  <c r="R71" i="9"/>
  <c r="Q71" i="9"/>
  <c r="S70" i="9"/>
  <c r="R70" i="9"/>
  <c r="Q70" i="9"/>
  <c r="S69" i="9"/>
  <c r="R69" i="9"/>
  <c r="Q69" i="9"/>
  <c r="G69" i="9"/>
  <c r="S68" i="9"/>
  <c r="R68" i="9"/>
  <c r="Q68" i="9"/>
  <c r="S67" i="9"/>
  <c r="R67" i="9"/>
  <c r="Q67" i="9"/>
  <c r="S66" i="9"/>
  <c r="R66" i="9"/>
  <c r="Q66" i="9"/>
  <c r="G66" i="9"/>
  <c r="S65" i="9"/>
  <c r="R65" i="9"/>
  <c r="Q65" i="9"/>
  <c r="G65" i="9"/>
  <c r="S64" i="9"/>
  <c r="R64" i="9"/>
  <c r="Q64" i="9"/>
  <c r="G64" i="9"/>
  <c r="S63" i="9"/>
  <c r="R63" i="9"/>
  <c r="Q63" i="9"/>
  <c r="S62" i="9"/>
  <c r="R62" i="9"/>
  <c r="Q62" i="9"/>
  <c r="S61" i="9"/>
  <c r="R61" i="9"/>
  <c r="Q61" i="9"/>
  <c r="S60" i="9"/>
  <c r="R60" i="9"/>
  <c r="Q60" i="9"/>
  <c r="S59" i="9"/>
  <c r="R59" i="9"/>
  <c r="Q59" i="9"/>
  <c r="G59" i="9"/>
  <c r="S58" i="9"/>
  <c r="R58" i="9"/>
  <c r="Q58" i="9"/>
  <c r="G58" i="9"/>
  <c r="S57" i="9"/>
  <c r="R57" i="9"/>
  <c r="Q57" i="9"/>
  <c r="S56" i="9"/>
  <c r="R56" i="9"/>
  <c r="Q56" i="9"/>
  <c r="G56" i="9"/>
  <c r="S55" i="9"/>
  <c r="R55" i="9"/>
  <c r="Q55" i="9"/>
  <c r="G55" i="9"/>
  <c r="S54" i="9"/>
  <c r="R54" i="9"/>
  <c r="Q54" i="9"/>
  <c r="G54" i="9"/>
  <c r="S53" i="9"/>
  <c r="R53" i="9"/>
  <c r="Q53" i="9"/>
  <c r="G53" i="9"/>
  <c r="S52" i="9"/>
  <c r="R52" i="9"/>
  <c r="Q52" i="9"/>
  <c r="G52" i="9"/>
  <c r="S51" i="9"/>
  <c r="R51" i="9"/>
  <c r="Q51" i="9"/>
  <c r="S50" i="9"/>
  <c r="R50" i="9"/>
  <c r="Q50" i="9"/>
  <c r="S49" i="9"/>
  <c r="R49" i="9"/>
  <c r="Q49" i="9"/>
  <c r="G49" i="9"/>
  <c r="S48" i="9"/>
  <c r="R48" i="9"/>
  <c r="Q48" i="9"/>
  <c r="I48" i="9"/>
  <c r="G48" i="9"/>
  <c r="S47" i="9"/>
  <c r="R47" i="9"/>
  <c r="Q47" i="9"/>
  <c r="G47" i="9"/>
  <c r="S46" i="9"/>
  <c r="R46" i="9"/>
  <c r="Q46" i="9"/>
  <c r="G46" i="9"/>
  <c r="S45" i="9"/>
  <c r="R45" i="9"/>
  <c r="Q45" i="9"/>
  <c r="G45" i="9"/>
  <c r="S44" i="9"/>
  <c r="R44" i="9"/>
  <c r="Q44" i="9"/>
  <c r="R43" i="9"/>
  <c r="Q43" i="9"/>
  <c r="S43" i="9" s="1"/>
  <c r="S42" i="9"/>
  <c r="R42" i="9"/>
  <c r="Q42" i="9"/>
  <c r="G42" i="9"/>
  <c r="S41" i="9"/>
  <c r="R41" i="9"/>
  <c r="Q41" i="9"/>
  <c r="S40" i="9"/>
  <c r="R40" i="9"/>
  <c r="Q40" i="9"/>
  <c r="S39" i="9"/>
  <c r="R39" i="9"/>
  <c r="Q39" i="9"/>
  <c r="G39" i="9"/>
  <c r="S38" i="9"/>
  <c r="R38" i="9"/>
  <c r="Q38" i="9"/>
  <c r="G38" i="9"/>
  <c r="S37" i="9"/>
  <c r="R37" i="9"/>
  <c r="Q37" i="9"/>
  <c r="G37" i="9"/>
  <c r="S36" i="9"/>
  <c r="R36" i="9"/>
  <c r="Q36" i="9"/>
  <c r="S35" i="9"/>
  <c r="R35" i="9"/>
  <c r="Q35" i="9"/>
  <c r="G35" i="9"/>
  <c r="S34" i="9"/>
  <c r="R34" i="9"/>
  <c r="Q34" i="9"/>
  <c r="S33" i="9"/>
  <c r="R33" i="9"/>
  <c r="Q33" i="9"/>
  <c r="S32" i="9"/>
  <c r="R32" i="9"/>
  <c r="Q32" i="9"/>
  <c r="G32" i="9"/>
  <c r="S31" i="9"/>
  <c r="R31" i="9"/>
  <c r="Q31" i="9"/>
  <c r="G31" i="9"/>
  <c r="S30" i="9"/>
  <c r="R30" i="9"/>
  <c r="Q30" i="9"/>
  <c r="S29" i="9"/>
  <c r="R29" i="9"/>
  <c r="Q29" i="9"/>
  <c r="S28" i="9"/>
  <c r="R28" i="9"/>
  <c r="Q28" i="9"/>
  <c r="R27" i="9"/>
  <c r="Q27" i="9"/>
  <c r="S27" i="9" s="1"/>
  <c r="I27" i="9"/>
  <c r="S26" i="9"/>
  <c r="R26" i="9"/>
  <c r="Q26" i="9"/>
  <c r="G26" i="9"/>
  <c r="S25" i="9"/>
  <c r="R25" i="9"/>
  <c r="Q25" i="9"/>
  <c r="I25" i="9"/>
  <c r="G25" i="9"/>
  <c r="S24" i="9"/>
  <c r="R24" i="9"/>
  <c r="Q24" i="9"/>
  <c r="R23" i="9"/>
  <c r="Q23" i="9"/>
  <c r="S23" i="9" s="1"/>
  <c r="S22" i="9"/>
  <c r="R22" i="9"/>
  <c r="Q22" i="9"/>
  <c r="G22" i="9"/>
  <c r="S21" i="9"/>
  <c r="R21" i="9"/>
  <c r="Q21" i="9"/>
  <c r="S20" i="9"/>
  <c r="R20" i="9"/>
  <c r="Q20" i="9"/>
  <c r="S19" i="9"/>
  <c r="R19" i="9"/>
  <c r="Q19" i="9"/>
  <c r="G19" i="9"/>
  <c r="S18" i="9"/>
  <c r="R18" i="9"/>
  <c r="Q18" i="9"/>
  <c r="S17" i="9"/>
  <c r="R17" i="9"/>
  <c r="Q17" i="9"/>
  <c r="S16" i="9"/>
  <c r="R16" i="9"/>
  <c r="Q16" i="9"/>
  <c r="G16" i="9"/>
  <c r="S15" i="9"/>
  <c r="R15" i="9"/>
  <c r="Q15" i="9"/>
  <c r="S14" i="9"/>
  <c r="R14" i="9"/>
  <c r="Q14" i="9"/>
  <c r="S13" i="9"/>
  <c r="R13" i="9"/>
  <c r="Q13" i="9"/>
  <c r="G13" i="9"/>
  <c r="S12" i="9"/>
  <c r="R12" i="9"/>
  <c r="Q12" i="9"/>
  <c r="G12" i="9"/>
  <c r="S11" i="9"/>
  <c r="R11" i="9"/>
  <c r="Q11" i="9"/>
  <c r="G11" i="9"/>
  <c r="S10" i="9"/>
  <c r="R10" i="9"/>
  <c r="Q10" i="9"/>
  <c r="G10" i="9"/>
  <c r="S9" i="9"/>
  <c r="R9" i="9"/>
  <c r="Q9" i="9"/>
  <c r="S8" i="9"/>
  <c r="R8" i="9"/>
  <c r="Q8" i="9"/>
  <c r="R7" i="9"/>
  <c r="Q7" i="9"/>
  <c r="AS300" i="7"/>
  <c r="AP300" i="7"/>
  <c r="R130" i="7"/>
  <c r="Q130" i="7"/>
  <c r="R129" i="7"/>
  <c r="Q129" i="7"/>
  <c r="S129" i="7" s="1"/>
  <c r="R128" i="7"/>
  <c r="Q128" i="7"/>
  <c r="R127" i="7"/>
  <c r="Q127" i="7"/>
  <c r="S127" i="7" s="1"/>
  <c r="R126" i="7"/>
  <c r="Q126" i="7"/>
  <c r="R125" i="7"/>
  <c r="Q125" i="7"/>
  <c r="S125" i="7" s="1"/>
  <c r="R124" i="7"/>
  <c r="Q124" i="7"/>
  <c r="R123" i="7"/>
  <c r="Q123" i="7"/>
  <c r="S123" i="7" s="1"/>
  <c r="R122" i="7"/>
  <c r="Q122" i="7"/>
  <c r="R121" i="7"/>
  <c r="Q121" i="7"/>
  <c r="S121" i="7" s="1"/>
  <c r="R120" i="7"/>
  <c r="Q120" i="7"/>
  <c r="R119" i="7"/>
  <c r="Q119" i="7"/>
  <c r="R118" i="7"/>
  <c r="Q118" i="7"/>
  <c r="R117" i="7"/>
  <c r="Q117" i="7"/>
  <c r="S117" i="7" s="1"/>
  <c r="S116" i="7"/>
  <c r="R116" i="7"/>
  <c r="Q116" i="7"/>
  <c r="R115" i="7"/>
  <c r="Q115" i="7"/>
  <c r="R114" i="7"/>
  <c r="Q114" i="7"/>
  <c r="R113" i="7"/>
  <c r="Q113" i="7"/>
  <c r="R112" i="7"/>
  <c r="Q112" i="7"/>
  <c r="R111" i="7"/>
  <c r="Q111" i="7"/>
  <c r="S111" i="7" s="1"/>
  <c r="R110" i="7"/>
  <c r="Q110" i="7"/>
  <c r="R109" i="7"/>
  <c r="Q109" i="7"/>
  <c r="S109" i="7" s="1"/>
  <c r="R108" i="7"/>
  <c r="Q108" i="7"/>
  <c r="R107" i="7"/>
  <c r="Q107" i="7"/>
  <c r="R106" i="7"/>
  <c r="Q106" i="7"/>
  <c r="R105" i="7"/>
  <c r="Q105" i="7"/>
  <c r="S105" i="7" s="1"/>
  <c r="R104" i="7"/>
  <c r="Q104" i="7"/>
  <c r="S104" i="7" s="1"/>
  <c r="R103" i="7"/>
  <c r="Q103" i="7"/>
  <c r="R102" i="7"/>
  <c r="Q102" i="7"/>
  <c r="S102" i="7" s="1"/>
  <c r="R101" i="7"/>
  <c r="Q101" i="7"/>
  <c r="R100" i="7"/>
  <c r="Q100" i="7"/>
  <c r="R99" i="7"/>
  <c r="Q99" i="7"/>
  <c r="R98" i="7"/>
  <c r="Q98" i="7"/>
  <c r="S98" i="7" s="1"/>
  <c r="R97" i="7"/>
  <c r="Q97" i="7"/>
  <c r="R96" i="7"/>
  <c r="Q96" i="7"/>
  <c r="S96" i="7" s="1"/>
  <c r="R95" i="7"/>
  <c r="Q95" i="7"/>
  <c r="R94" i="7"/>
  <c r="Q94" i="7"/>
  <c r="S94" i="7" s="1"/>
  <c r="S93" i="7"/>
  <c r="R93" i="7"/>
  <c r="G93" i="7"/>
  <c r="Q93" i="7" s="1"/>
  <c r="R92" i="7"/>
  <c r="Q92" i="7"/>
  <c r="S92" i="7" s="1"/>
  <c r="R91" i="7"/>
  <c r="Q91" i="7"/>
  <c r="R90" i="7"/>
  <c r="Q90" i="7"/>
  <c r="R89" i="7"/>
  <c r="Q89" i="7"/>
  <c r="S89" i="7" s="1"/>
  <c r="R88" i="7"/>
  <c r="Q88" i="7"/>
  <c r="R87" i="7"/>
  <c r="G87" i="7"/>
  <c r="Q87" i="7" s="1"/>
  <c r="S87" i="7" s="1"/>
  <c r="R86" i="7"/>
  <c r="Q86" i="7"/>
  <c r="R85" i="7"/>
  <c r="Q85" i="7"/>
  <c r="S85" i="7" s="1"/>
  <c r="R84" i="7"/>
  <c r="S84" i="7" s="1"/>
  <c r="Q84" i="7"/>
  <c r="R83" i="7"/>
  <c r="Q83" i="7"/>
  <c r="R82" i="7"/>
  <c r="Q82" i="7"/>
  <c r="R81" i="7"/>
  <c r="Q81" i="7"/>
  <c r="R80" i="7"/>
  <c r="G80" i="7"/>
  <c r="Q80" i="7" s="1"/>
  <c r="R79" i="7"/>
  <c r="Q79" i="7"/>
  <c r="S79" i="7" s="1"/>
  <c r="R78" i="7"/>
  <c r="Q78" i="7"/>
  <c r="R77" i="7"/>
  <c r="Q77" i="7"/>
  <c r="R76" i="7"/>
  <c r="Q76" i="7"/>
  <c r="R75" i="7"/>
  <c r="Q75" i="7"/>
  <c r="S75" i="7" s="1"/>
  <c r="S74" i="7"/>
  <c r="R74" i="7"/>
  <c r="Q74" i="7"/>
  <c r="R73" i="7"/>
  <c r="Q73" i="7"/>
  <c r="R72" i="7"/>
  <c r="Q72" i="7"/>
  <c r="S72" i="7" s="1"/>
  <c r="R71" i="7"/>
  <c r="Q71" i="7"/>
  <c r="R70" i="7"/>
  <c r="Q70" i="7"/>
  <c r="S70" i="7" s="1"/>
  <c r="R69" i="7"/>
  <c r="G69" i="7"/>
  <c r="Q69" i="7" s="1"/>
  <c r="S69" i="7" s="1"/>
  <c r="R68" i="7"/>
  <c r="G68" i="7"/>
  <c r="Q68" i="7" s="1"/>
  <c r="R67" i="7"/>
  <c r="G67" i="7"/>
  <c r="Q67" i="7" s="1"/>
  <c r="S67" i="7" s="1"/>
  <c r="R66" i="7"/>
  <c r="Q66" i="7"/>
  <c r="R65" i="7"/>
  <c r="Q65" i="7"/>
  <c r="S65" i="7" s="1"/>
  <c r="R64" i="7"/>
  <c r="G64" i="7"/>
  <c r="Q64" i="7" s="1"/>
  <c r="R63" i="7"/>
  <c r="Q63" i="7"/>
  <c r="S63" i="7" s="1"/>
  <c r="R62" i="7"/>
  <c r="Q62" i="7"/>
  <c r="S62" i="7" s="1"/>
  <c r="R61" i="7"/>
  <c r="Q61" i="7"/>
  <c r="R60" i="7"/>
  <c r="G60" i="7"/>
  <c r="Q60" i="7" s="1"/>
  <c r="S60" i="7" s="1"/>
  <c r="R59" i="7"/>
  <c r="G59" i="7"/>
  <c r="Q59" i="7" s="1"/>
  <c r="S59" i="7" s="1"/>
  <c r="R58" i="7"/>
  <c r="G58" i="7"/>
  <c r="Q58" i="7" s="1"/>
  <c r="R57" i="7"/>
  <c r="G57" i="7"/>
  <c r="Q57" i="7" s="1"/>
  <c r="S57" i="7" s="1"/>
  <c r="R56" i="7"/>
  <c r="G56" i="7"/>
  <c r="Q56" i="7" s="1"/>
  <c r="S56" i="7" s="1"/>
  <c r="R55" i="7"/>
  <c r="S55" i="7" s="1"/>
  <c r="G55" i="7"/>
  <c r="Q55" i="7" s="1"/>
  <c r="R54" i="7"/>
  <c r="G54" i="7"/>
  <c r="Q54" i="7" s="1"/>
  <c r="S54" i="7" s="1"/>
  <c r="R53" i="7"/>
  <c r="G53" i="7"/>
  <c r="Q53" i="7" s="1"/>
  <c r="R52" i="7"/>
  <c r="G52" i="7"/>
  <c r="Q52" i="7" s="1"/>
  <c r="S52" i="7" s="1"/>
  <c r="R51" i="7"/>
  <c r="Q51" i="7"/>
  <c r="R50" i="7"/>
  <c r="Q50" i="7"/>
  <c r="S50" i="7" s="1"/>
  <c r="R49" i="7"/>
  <c r="Q49" i="7"/>
  <c r="S49" i="7" s="1"/>
  <c r="G49" i="7"/>
  <c r="R48" i="7"/>
  <c r="G48" i="7"/>
  <c r="Q48" i="7" s="1"/>
  <c r="R47" i="7"/>
  <c r="G47" i="7"/>
  <c r="Q47" i="7" s="1"/>
  <c r="S47" i="7" s="1"/>
  <c r="R46" i="7"/>
  <c r="G46" i="7"/>
  <c r="Q46" i="7" s="1"/>
  <c r="R45" i="7"/>
  <c r="Q45" i="7"/>
  <c r="S45" i="7" s="1"/>
  <c r="R44" i="7"/>
  <c r="G44" i="7"/>
  <c r="Q44" i="7" s="1"/>
  <c r="R43" i="7"/>
  <c r="G43" i="7"/>
  <c r="Q43" i="7" s="1"/>
  <c r="R42" i="7"/>
  <c r="G42" i="7"/>
  <c r="Q42" i="7" s="1"/>
  <c r="R41" i="7"/>
  <c r="Q41" i="7"/>
  <c r="S41" i="7" s="1"/>
  <c r="R40" i="7"/>
  <c r="G40" i="7"/>
  <c r="Q40" i="7" s="1"/>
  <c r="R39" i="7"/>
  <c r="Q39" i="7"/>
  <c r="R38" i="7"/>
  <c r="Q38" i="7"/>
  <c r="G38" i="7"/>
  <c r="R37" i="7"/>
  <c r="G37" i="7"/>
  <c r="Q37" i="7" s="1"/>
  <c r="S37" i="7" s="1"/>
  <c r="R36" i="7"/>
  <c r="G36" i="7"/>
  <c r="Q36" i="7" s="1"/>
  <c r="R35" i="7"/>
  <c r="G35" i="7"/>
  <c r="Q35" i="7" s="1"/>
  <c r="S35" i="7" s="1"/>
  <c r="R34" i="7"/>
  <c r="Q34" i="7"/>
  <c r="R33" i="7"/>
  <c r="I33" i="7"/>
  <c r="Q33" i="7" s="1"/>
  <c r="S33" i="7" s="1"/>
  <c r="R32" i="7"/>
  <c r="G32" i="7"/>
  <c r="Q32" i="7" s="1"/>
  <c r="S32" i="7" s="1"/>
  <c r="R31" i="7"/>
  <c r="Q31" i="7"/>
  <c r="S31" i="7" s="1"/>
  <c r="R30" i="7"/>
  <c r="Q30" i="7"/>
  <c r="S30" i="7" s="1"/>
  <c r="R29" i="7"/>
  <c r="Q29" i="7"/>
  <c r="S29" i="7" s="1"/>
  <c r="G29" i="7"/>
  <c r="R28" i="7"/>
  <c r="G28" i="7"/>
  <c r="Q28" i="7" s="1"/>
  <c r="S28" i="7" s="1"/>
  <c r="R27" i="7"/>
  <c r="G27" i="7"/>
  <c r="Q27" i="7" s="1"/>
  <c r="R26" i="7"/>
  <c r="Q26" i="7"/>
  <c r="S26" i="7" s="1"/>
  <c r="R25" i="7"/>
  <c r="G25" i="7"/>
  <c r="Q25" i="7" s="1"/>
  <c r="R24" i="7"/>
  <c r="G24" i="7"/>
  <c r="Q24" i="7" s="1"/>
  <c r="R23" i="7"/>
  <c r="G23" i="7"/>
  <c r="Q23" i="7" s="1"/>
  <c r="R22" i="7"/>
  <c r="G22" i="7"/>
  <c r="Q22" i="7" s="1"/>
  <c r="R21" i="7"/>
  <c r="G21" i="7"/>
  <c r="Q21" i="7" s="1"/>
  <c r="R20" i="7"/>
  <c r="Q20" i="7"/>
  <c r="S20" i="7" s="1"/>
  <c r="R19" i="7"/>
  <c r="Q19" i="7"/>
  <c r="G19" i="7"/>
  <c r="R18" i="7"/>
  <c r="G18" i="7"/>
  <c r="Q18" i="7" s="1"/>
  <c r="S18" i="7" s="1"/>
  <c r="R17" i="7"/>
  <c r="G17" i="7"/>
  <c r="Q17" i="7" s="1"/>
  <c r="S17" i="7" s="1"/>
  <c r="R16" i="7"/>
  <c r="G16" i="7"/>
  <c r="Q16" i="7" s="1"/>
  <c r="S16" i="7" s="1"/>
  <c r="R15" i="7"/>
  <c r="G15" i="7"/>
  <c r="Q15" i="7" s="1"/>
  <c r="S15" i="7" s="1"/>
  <c r="R14" i="7"/>
  <c r="G14" i="7"/>
  <c r="Q14" i="7" s="1"/>
  <c r="R13" i="7"/>
  <c r="Q13" i="7"/>
  <c r="S13" i="7" s="1"/>
  <c r="R12" i="7"/>
  <c r="Q12" i="7"/>
  <c r="R11" i="7"/>
  <c r="G11" i="7"/>
  <c r="R10" i="7"/>
  <c r="Q10" i="7"/>
  <c r="S10" i="7" s="1"/>
  <c r="R9" i="7"/>
  <c r="Q9" i="7"/>
  <c r="R8" i="7"/>
  <c r="Q8" i="7"/>
  <c r="R7" i="7"/>
  <c r="Q7" i="7"/>
  <c r="S73" i="7" l="1"/>
  <c r="S19" i="7"/>
  <c r="S21" i="7"/>
  <c r="S23" i="7"/>
  <c r="S25" i="7"/>
  <c r="S27" i="7"/>
  <c r="S40" i="7"/>
  <c r="S42" i="7"/>
  <c r="S44" i="7"/>
  <c r="S51" i="7"/>
  <c r="S68" i="7"/>
  <c r="S80" i="7"/>
  <c r="S82" i="7"/>
  <c r="S99" i="7"/>
  <c r="S101" i="7"/>
  <c r="S103" i="7"/>
  <c r="S88" i="7"/>
  <c r="S24" i="7"/>
  <c r="S83" i="7"/>
  <c r="S78" i="7"/>
  <c r="Q11" i="7"/>
  <c r="S11" i="7" s="1"/>
  <c r="S115" i="7"/>
  <c r="S12" i="7"/>
  <c r="S14" i="7"/>
  <c r="S22" i="7"/>
  <c r="S39" i="7"/>
  <c r="S43" i="7"/>
  <c r="S53" i="7"/>
  <c r="S58" i="7"/>
  <c r="S61" i="7"/>
  <c r="S64" i="7"/>
  <c r="S66" i="7"/>
  <c r="S71" i="7"/>
  <c r="S76" i="7"/>
  <c r="S81" i="7"/>
  <c r="S86" i="7"/>
  <c r="S97" i="7"/>
  <c r="S100" i="7"/>
  <c r="S106" i="7"/>
  <c r="S108" i="7"/>
  <c r="S112" i="7"/>
  <c r="S114" i="7"/>
  <c r="S118" i="7"/>
  <c r="S120" i="7"/>
  <c r="S124" i="7"/>
  <c r="S130" i="7"/>
  <c r="S122" i="7"/>
  <c r="S91" i="7"/>
  <c r="S90" i="7"/>
  <c r="S9" i="7"/>
  <c r="S34" i="7"/>
  <c r="S38" i="7"/>
  <c r="S48" i="7"/>
  <c r="S77" i="7"/>
  <c r="S36" i="7"/>
  <c r="S46" i="7"/>
  <c r="S7" i="7"/>
  <c r="S95" i="7"/>
  <c r="S107" i="7"/>
  <c r="S110" i="7"/>
  <c r="S113" i="7"/>
  <c r="S119" i="7"/>
  <c r="S126" i="7"/>
  <c r="S128" i="7"/>
  <c r="S8" i="7"/>
  <c r="Q536" i="8"/>
  <c r="S536" i="8" s="1"/>
  <c r="Q494" i="9"/>
  <c r="S7" i="9"/>
  <c r="S494" i="9" s="1"/>
</calcChain>
</file>

<file path=xl/sharedStrings.xml><?xml version="1.0" encoding="utf-8"?>
<sst xmlns="http://schemas.openxmlformats.org/spreadsheetml/2006/main" count="16928" uniqueCount="9394">
  <si>
    <t>Nº CAT</t>
  </si>
  <si>
    <t>PLACA</t>
  </si>
  <si>
    <t>CODIGO DE ACCIDENTE</t>
  </si>
  <si>
    <t>CODIGO DE SINIESTRO</t>
  </si>
  <si>
    <t>ZONA GEOGRAFICA</t>
  </si>
  <si>
    <t>FECHA DE NOTIFICACION A LA AFOCAT</t>
  </si>
  <si>
    <t>GASTOS MEDICOS</t>
  </si>
  <si>
    <t>INCAPACIDAD TEMPORAL</t>
  </si>
  <si>
    <t>INVALIDEZ PERMANENTE</t>
  </si>
  <si>
    <t>GASTOS DE SEPELIO</t>
  </si>
  <si>
    <t>INDEMNIZACION POR MUERTE</t>
  </si>
  <si>
    <t>BENEFICIOS PAGADOS TOTAL</t>
  </si>
  <si>
    <t>RECLAMOS PENDIENTES DE PAGO TOTAL</t>
  </si>
  <si>
    <t>COSTO DEL SINIESTRO TOTAL</t>
  </si>
  <si>
    <t>BENEFICIOS PAGADOS</t>
  </si>
  <si>
    <t>RECLAMO PENDIENTES DE PAGO</t>
  </si>
  <si>
    <t>084770</t>
  </si>
  <si>
    <t>V3K-950</t>
  </si>
  <si>
    <t>APAZA SANCCA, BERTHA</t>
  </si>
  <si>
    <t>AREQUIPA-AREQUIPA</t>
  </si>
  <si>
    <t>083641</t>
  </si>
  <si>
    <t>V3E-696</t>
  </si>
  <si>
    <t>RAMOS CASTRO, MARCO ANTONIO</t>
  </si>
  <si>
    <t>CALLA HUACASI, ADELA</t>
  </si>
  <si>
    <t>085817</t>
  </si>
  <si>
    <t>COD-291</t>
  </si>
  <si>
    <t>MAMANI TURPO, GLORIA ESTER</t>
  </si>
  <si>
    <t>MAMANI TURPO, ADOLFO RUDI</t>
  </si>
  <si>
    <t>MAMANI TURPO, JUAN ALBERTO</t>
  </si>
  <si>
    <t>VISA GONZALES, ALEJANDRINA</t>
  </si>
  <si>
    <t>088655</t>
  </si>
  <si>
    <t>V4H-173</t>
  </si>
  <si>
    <t>VALLEJOS VELASQUEZ, ROCIO</t>
  </si>
  <si>
    <t>074941</t>
  </si>
  <si>
    <t>V4G-122</t>
  </si>
  <si>
    <t>??</t>
  </si>
  <si>
    <t>086556</t>
  </si>
  <si>
    <t>V1W-127</t>
  </si>
  <si>
    <t>RAFAEL HUACASI, DEYSI</t>
  </si>
  <si>
    <t>084912</t>
  </si>
  <si>
    <t>V2H-526</t>
  </si>
  <si>
    <t>YEREN SOTO, ISABEL</t>
  </si>
  <si>
    <t>085633</t>
  </si>
  <si>
    <t>EH-7703</t>
  </si>
  <si>
    <t>SANTOS CHACON, PAMELA</t>
  </si>
  <si>
    <t>091323</t>
  </si>
  <si>
    <t>V1V-793</t>
  </si>
  <si>
    <t>VILLEGAS ZEBALLOS, LOURDES  GUBERLINDA</t>
  </si>
  <si>
    <t>073315</t>
  </si>
  <si>
    <t>UH-4761</t>
  </si>
  <si>
    <t>ALVAREZ BUSTAMANTE, FRANCISCA</t>
  </si>
  <si>
    <t>078483</t>
  </si>
  <si>
    <t>FH-3774</t>
  </si>
  <si>
    <t>CONCHA ARONE, IRENE</t>
  </si>
  <si>
    <t>CALLA CONDORI, AGRIPINA</t>
  </si>
  <si>
    <t>APAZA CALLA, REYMUNDA</t>
  </si>
  <si>
    <t>CUSI CHAMBI,GUADALUPE</t>
  </si>
  <si>
    <t>FLORES QUISPE, ELIZABETH</t>
  </si>
  <si>
    <t>AQUINO YANA, ROSARIO</t>
  </si>
  <si>
    <t>GUTIERREZ MAMANI, NELIDA</t>
  </si>
  <si>
    <t>076047</t>
  </si>
  <si>
    <t>EH-3492</t>
  </si>
  <si>
    <t>QUINUA YALLERCO, FRANCISCA</t>
  </si>
  <si>
    <t>073965</t>
  </si>
  <si>
    <t>TH-3384</t>
  </si>
  <si>
    <t>ROJAS FIGUEROA, LUCIANA</t>
  </si>
  <si>
    <t>FIGUEROA MENDOZA, CORINA</t>
  </si>
  <si>
    <t>078359</t>
  </si>
  <si>
    <t>Z4C-820</t>
  </si>
  <si>
    <t>CALLO VARGAS, MARICIELO</t>
  </si>
  <si>
    <t>073910</t>
  </si>
  <si>
    <t>V1L-106</t>
  </si>
  <si>
    <t>SISIHUA ARMEJO, ANYELUS MILAGROS</t>
  </si>
  <si>
    <t>AREQUIPA-CAMANA</t>
  </si>
  <si>
    <t>085540</t>
  </si>
  <si>
    <t>CIG-446</t>
  </si>
  <si>
    <t>CHAVEZ ALVAREZ, JORGE AVELINO</t>
  </si>
  <si>
    <t>085269</t>
  </si>
  <si>
    <t>V3V-303</t>
  </si>
  <si>
    <t>ZEGARRA CORIO, LUCIO</t>
  </si>
  <si>
    <t>073620</t>
  </si>
  <si>
    <t>FH-6104</t>
  </si>
  <si>
    <t>LOPEZ PALACIN, JUAN</t>
  </si>
  <si>
    <t>086703</t>
  </si>
  <si>
    <t>M2T-684</t>
  </si>
  <si>
    <t>CASTELLANOS QUISPE, EVER</t>
  </si>
  <si>
    <t>ENCALADA RODRIGUEZ, ROSA ELENA</t>
  </si>
  <si>
    <t>ALVAREZ ENCALADA, MILAGROS</t>
  </si>
  <si>
    <t>RODRIGUEZ OJEDA, ROSA ELENA</t>
  </si>
  <si>
    <t>PURUGUAYA HUAMANI, RUTH</t>
  </si>
  <si>
    <t>084352</t>
  </si>
  <si>
    <t>RJ-2430</t>
  </si>
  <si>
    <t>CASTELLANO CCOA, COSME RAUL</t>
  </si>
  <si>
    <t>077236</t>
  </si>
  <si>
    <t>V1B-730</t>
  </si>
  <si>
    <t>NUÑEZ PINTO, IGNACIO</t>
  </si>
  <si>
    <t>TICONA VIZA, JOSE</t>
  </si>
  <si>
    <t>TOLEDO MONTERROSO, ELIZABETH</t>
  </si>
  <si>
    <t>HUACHO TOLEDO, ZELINDA</t>
  </si>
  <si>
    <t>TICONA CHOQUE, DEYMAR CLEVER</t>
  </si>
  <si>
    <t>FUENTES RAMOS ERLAND ABEL</t>
  </si>
  <si>
    <t>QUISPE PAIVA, DOLORES</t>
  </si>
  <si>
    <t>076006</t>
  </si>
  <si>
    <t>EH-4415</t>
  </si>
  <si>
    <t>TRISTAN HERRERA,JOSE LUIS</t>
  </si>
  <si>
    <t>076952</t>
  </si>
  <si>
    <t>RH-4619</t>
  </si>
  <si>
    <t>074677</t>
  </si>
  <si>
    <t>UH-4692</t>
  </si>
  <si>
    <t>CCOHAQUIRA QUISPE, SALOMON</t>
  </si>
  <si>
    <t>083212</t>
  </si>
  <si>
    <t>FH-6014</t>
  </si>
  <si>
    <t>PACHECO GONZALES, JUAN CARLOS</t>
  </si>
  <si>
    <t>078651</t>
  </si>
  <si>
    <t>C5U-191</t>
  </si>
  <si>
    <t>ESTOFANERO CALLO, DAYIRO JOSE</t>
  </si>
  <si>
    <t>088618</t>
  </si>
  <si>
    <t>V1X-115</t>
  </si>
  <si>
    <t>PUMA RAMOS , SHARON NATALY</t>
  </si>
  <si>
    <t>TITO CHAMBI, FLOR MARIA</t>
  </si>
  <si>
    <t>MAMANI MAMANI, GARI ELMER</t>
  </si>
  <si>
    <t>075888</t>
  </si>
  <si>
    <t>V4M-369</t>
  </si>
  <si>
    <t>HUMUD ALBIZURI, ELIO</t>
  </si>
  <si>
    <t>091671</t>
  </si>
  <si>
    <t>V1Z-711</t>
  </si>
  <si>
    <t>MAMANI PUMA, ESTEFANY</t>
  </si>
  <si>
    <t>076900</t>
  </si>
  <si>
    <t>V2F-331</t>
  </si>
  <si>
    <t>HANCCO CHUCTAYA, ELVA</t>
  </si>
  <si>
    <t>088702</t>
  </si>
  <si>
    <t>V2L-657</t>
  </si>
  <si>
    <t>QUISPE CARDENAS, NICANOR</t>
  </si>
  <si>
    <t>077607</t>
  </si>
  <si>
    <t>V3N-295</t>
  </si>
  <si>
    <t>CALDERON MEDINA, LICELY</t>
  </si>
  <si>
    <t>PAREDES FERNANDEZ, YONY VIVIANNE</t>
  </si>
  <si>
    <t>SALAS ARREDONDO FANY LUZ</t>
  </si>
  <si>
    <t>080608</t>
  </si>
  <si>
    <t>V1-9513</t>
  </si>
  <si>
    <t>QUISPE CAYO, PEDRO</t>
  </si>
  <si>
    <t>AREQUIPA-PEDREGAL</t>
  </si>
  <si>
    <t>ZARATE ROJAS, ANDRES</t>
  </si>
  <si>
    <t>CHURATA SULCA, JOEL</t>
  </si>
  <si>
    <t>087136</t>
  </si>
  <si>
    <t>V4Y-562</t>
  </si>
  <si>
    <t>GOMEZ PINTO, JEANPIER ANDERSON</t>
  </si>
  <si>
    <t>077256</t>
  </si>
  <si>
    <t>V2N-067</t>
  </si>
  <si>
    <t>BENAVIDES RAMOS, MANUEL FERNANDO</t>
  </si>
  <si>
    <t>083061</t>
  </si>
  <si>
    <t>V4S-492</t>
  </si>
  <si>
    <t>CATUNTA ASQUI, RENZO</t>
  </si>
  <si>
    <t>077166</t>
  </si>
  <si>
    <t>V5K-895</t>
  </si>
  <si>
    <t>CALCINA VILCA, FELICITAS</t>
  </si>
  <si>
    <t>078225</t>
  </si>
  <si>
    <t>H1C-627</t>
  </si>
  <si>
    <t>MORENO VALENZUELA, JOSE ANTONIO</t>
  </si>
  <si>
    <t>077846</t>
  </si>
  <si>
    <t>B9M-598</t>
  </si>
  <si>
    <t>MAMANI VILCA, WILLIAN</t>
  </si>
  <si>
    <t>074039</t>
  </si>
  <si>
    <t>V3S-236</t>
  </si>
  <si>
    <t>ROJAS LUQUE, REBECA</t>
  </si>
  <si>
    <t>086943</t>
  </si>
  <si>
    <t>FH-1703</t>
  </si>
  <si>
    <t>MENDOZA FLORES, EDICON</t>
  </si>
  <si>
    <t>079584</t>
  </si>
  <si>
    <t>V3S-430</t>
  </si>
  <si>
    <t>SOSA MARTINEZ, DULIO</t>
  </si>
  <si>
    <t>091596</t>
  </si>
  <si>
    <t>FH-3745</t>
  </si>
  <si>
    <t>CHIRE FLORES, EDWAR</t>
  </si>
  <si>
    <t>CARCASI MAMANI, HUGO</t>
  </si>
  <si>
    <t>087546</t>
  </si>
  <si>
    <t>V3P-223</t>
  </si>
  <si>
    <t>GOMEZ QUISPE, RENE</t>
  </si>
  <si>
    <t>HUAMANI PERALES, NATALY</t>
  </si>
  <si>
    <t>QUISPE HUANCA, ANGELA</t>
  </si>
  <si>
    <t>FLORES QUISPE, MARI</t>
  </si>
  <si>
    <t>BETANCUR CHURATA, JAVIER</t>
  </si>
  <si>
    <t>085150</t>
  </si>
  <si>
    <t>V2G-698</t>
  </si>
  <si>
    <t>MAMANI LARICO, ALEJANDRO</t>
  </si>
  <si>
    <t>088432</t>
  </si>
  <si>
    <t>V1R-409</t>
  </si>
  <si>
    <t>TITO CUTIPA, LUCY</t>
  </si>
  <si>
    <t>PACHECO TITO, MAYLEN</t>
  </si>
  <si>
    <t>087952</t>
  </si>
  <si>
    <t>V3N-151</t>
  </si>
  <si>
    <t>GUALBERTO MINAYA, PACHECO</t>
  </si>
  <si>
    <t>RAYO AYME, MARIA DEL CARMEN</t>
  </si>
  <si>
    <t>077780</t>
  </si>
  <si>
    <t>V4O-216</t>
  </si>
  <si>
    <t>SIU VENEGAS, YUSEPI DAVID</t>
  </si>
  <si>
    <t>089344</t>
  </si>
  <si>
    <t>B3D-702</t>
  </si>
  <si>
    <t>RETAMOZO GUILLEN, MADELEINE CAROL</t>
  </si>
  <si>
    <t>076644</t>
  </si>
  <si>
    <t>A9W-626</t>
  </si>
  <si>
    <t>ESPINOZA SALAZAR, MARIA ALEJANDRA</t>
  </si>
  <si>
    <t>086991</t>
  </si>
  <si>
    <t>V2S-434</t>
  </si>
  <si>
    <t>CERVANTES TICONA, JUAN LUIS</t>
  </si>
  <si>
    <t>080032</t>
  </si>
  <si>
    <t>D9N-793</t>
  </si>
  <si>
    <t>CHULLO RODRIGUEZ, OSCAR KELVIN</t>
  </si>
  <si>
    <t>091363</t>
  </si>
  <si>
    <t>V3B-194</t>
  </si>
  <si>
    <t>MAMANI DE LA CRUZ, ALEJANDRO</t>
  </si>
  <si>
    <t>074605</t>
  </si>
  <si>
    <t>V4I-230</t>
  </si>
  <si>
    <t>HUAYTA ALARCON, ROY ALFONSO</t>
  </si>
  <si>
    <t>SOTO GUTIERREZ, MIRIAN</t>
  </si>
  <si>
    <t>REYNOSO VALENCIA, GIULIANA NATALY</t>
  </si>
  <si>
    <t>ACROTA REYNOSO, CAMILA</t>
  </si>
  <si>
    <t>CHOQUE MENDIGURI, CRISTINA</t>
  </si>
  <si>
    <t>PILLACA AYQUIPA, ANDRES CONSTANTINO</t>
  </si>
  <si>
    <t>077423</t>
  </si>
  <si>
    <t>FH-6508</t>
  </si>
  <si>
    <t>CANDIA CACERES, ANTONY</t>
  </si>
  <si>
    <t>CALLOAPAZA PACORI, BRYAN</t>
  </si>
  <si>
    <t>090960</t>
  </si>
  <si>
    <t>B4O-399</t>
  </si>
  <si>
    <t>CORNEJO SANCHEZ, JUDY</t>
  </si>
  <si>
    <t>PONCE GARCIA, FRANCISCO</t>
  </si>
  <si>
    <t>091958</t>
  </si>
  <si>
    <t>B5I-175</t>
  </si>
  <si>
    <t>MAMANI CABANA, DEYVI</t>
  </si>
  <si>
    <t>076482</t>
  </si>
  <si>
    <t>A0G-497</t>
  </si>
  <si>
    <t>AYALA HERRERA, ESMERALDA</t>
  </si>
  <si>
    <t>QUENAYA AYALA, ANDRE SEBASTIAN</t>
  </si>
  <si>
    <t>095657</t>
  </si>
  <si>
    <t>V1E-244</t>
  </si>
  <si>
    <t>MAMANI HUAYHUA, ISABEL</t>
  </si>
  <si>
    <t>095250</t>
  </si>
  <si>
    <t>M3A-086</t>
  </si>
  <si>
    <t>RAMOS QUISPE, ENZO JESUS</t>
  </si>
  <si>
    <t>096162</t>
  </si>
  <si>
    <t>V5J-147</t>
  </si>
  <si>
    <t>GARATE CUADROS, ROSALEN</t>
  </si>
  <si>
    <t>087409</t>
  </si>
  <si>
    <t>V3D-677</t>
  </si>
  <si>
    <t>LAZO MIRANDA, VICKY</t>
  </si>
  <si>
    <t>MARIN LAZO, EDUARDO</t>
  </si>
  <si>
    <t>MARIN MENDOZA, ENRIQUE</t>
  </si>
  <si>
    <t>077337</t>
  </si>
  <si>
    <t>V2S-610</t>
  </si>
  <si>
    <t>FERNANDEZ MERMA, VICTOR</t>
  </si>
  <si>
    <t>086734</t>
  </si>
  <si>
    <t>BF-1807</t>
  </si>
  <si>
    <t>ACUÑA BECERRA, JORGE</t>
  </si>
  <si>
    <t>089997</t>
  </si>
  <si>
    <t>Z3L-295</t>
  </si>
  <si>
    <t>LEON MARTINEZ, MARISOL</t>
  </si>
  <si>
    <t>NINA GUTIERREZ, JUANA</t>
  </si>
  <si>
    <t>072423</t>
  </si>
  <si>
    <t>V1Y-640</t>
  </si>
  <si>
    <t>FLORES CUSI, SUSANA MARCIA</t>
  </si>
  <si>
    <t>073981</t>
  </si>
  <si>
    <t>V1P-755</t>
  </si>
  <si>
    <t>HUAYHUA CHOQUE, CRISTHIAN</t>
  </si>
  <si>
    <t>084309</t>
  </si>
  <si>
    <t>Y2-6655</t>
  </si>
  <si>
    <t>RAMOS LLAMOCA, ROBERTO ERMITANIO</t>
  </si>
  <si>
    <t>BELLIDO REVILLA, CARLOS</t>
  </si>
  <si>
    <t>091533</t>
  </si>
  <si>
    <t>V3L-126</t>
  </si>
  <si>
    <t>MILIO MAMANI, REYNALDO</t>
  </si>
  <si>
    <t>078786</t>
  </si>
  <si>
    <t>BZ4-194</t>
  </si>
  <si>
    <t>FUENTE ZEVALLOS, RUPERTO</t>
  </si>
  <si>
    <t>095604</t>
  </si>
  <si>
    <t>V5H-607</t>
  </si>
  <si>
    <t>CAUCHA SANGA, LUCIANA</t>
  </si>
  <si>
    <t>080426</t>
  </si>
  <si>
    <t>V2R-673</t>
  </si>
  <si>
    <t>CHURA TORRES, GABRIELA</t>
  </si>
  <si>
    <t>078365</t>
  </si>
  <si>
    <t>V3K-370</t>
  </si>
  <si>
    <t>CHAMBI CALLO, LUZ MARIFER</t>
  </si>
  <si>
    <t>083758</t>
  </si>
  <si>
    <t>V4R-687</t>
  </si>
  <si>
    <t>RAMOS BERNEDO, EDUARDO HECTOR</t>
  </si>
  <si>
    <t>077214</t>
  </si>
  <si>
    <t>A2R-785</t>
  </si>
  <si>
    <t>DELGADO FLORES, MARIA JESUS</t>
  </si>
  <si>
    <t>CARREÑO HERRERA, BLANCA LUZ</t>
  </si>
  <si>
    <t>IBAÑEZ FERNANDEZ, ARIANA</t>
  </si>
  <si>
    <t>PEREZ VERA, MARIA</t>
  </si>
  <si>
    <t>CACERES YANCAPALLO, ANDRES</t>
  </si>
  <si>
    <t>CUTIPA PAYE, ROBERTO</t>
  </si>
  <si>
    <t>CACERES (YANCAPALLO)CHURA, DARCE</t>
  </si>
  <si>
    <t>077247</t>
  </si>
  <si>
    <t>FH-4380</t>
  </si>
  <si>
    <t>SONCCO RAMOS,MARIA DEL ROSARIO</t>
  </si>
  <si>
    <t>088363</t>
  </si>
  <si>
    <t>V2W-109</t>
  </si>
  <si>
    <t>ALARCON CHAVEZ, LUIS GERARDO</t>
  </si>
  <si>
    <t>085275</t>
  </si>
  <si>
    <t>V2H-679</t>
  </si>
  <si>
    <t>ACUÑO FURO, RUBEN RAUL</t>
  </si>
  <si>
    <t>084746</t>
  </si>
  <si>
    <t>BF-1758</t>
  </si>
  <si>
    <t>HUILLCA CHIPA, JUAN FRANCISCO</t>
  </si>
  <si>
    <t>CALLA CHAMBI, NESTOR</t>
  </si>
  <si>
    <t>096278</t>
  </si>
  <si>
    <t>V1S-648</t>
  </si>
  <si>
    <t>QUISPE FLORES, ELVIS RODY</t>
  </si>
  <si>
    <t>AREQUIPA-YURA</t>
  </si>
  <si>
    <t>089902</t>
  </si>
  <si>
    <t>RU-3837</t>
  </si>
  <si>
    <t>TACO CAHUANA, DANTE CLINTON</t>
  </si>
  <si>
    <t>MAMANI CALA, DELIA MARGARITA</t>
  </si>
  <si>
    <t>MAMANI NEGREIROS, MANUEL</t>
  </si>
  <si>
    <t>MENDOZA RODRIGUEZ, ROBERTO</t>
  </si>
  <si>
    <t>FLAQUICE QUISPE, MARIA DEL ROCIO</t>
  </si>
  <si>
    <t>PACCARA MAMANI, JHOSELINE MAYUMI</t>
  </si>
  <si>
    <t>095029</t>
  </si>
  <si>
    <t>V1X-763</t>
  </si>
  <si>
    <t>PAREDES CHACNAMA, HUGO ANGEL</t>
  </si>
  <si>
    <t>MANSILLA VINO, LAURA</t>
  </si>
  <si>
    <t>095131</t>
  </si>
  <si>
    <t>V4F-542</t>
  </si>
  <si>
    <t>LINARES SALINAS, CLAUDIO</t>
  </si>
  <si>
    <t>088559</t>
  </si>
  <si>
    <t>UH-3604</t>
  </si>
  <si>
    <t>ALARCON RODRIGUEZ, ALEXIS SILVIA</t>
  </si>
  <si>
    <t>075617</t>
  </si>
  <si>
    <t>BQW-632</t>
  </si>
  <si>
    <t>ARREDONDO CARDENAS, CRISTIAN</t>
  </si>
  <si>
    <t>CAMA LEON, GONZALO</t>
  </si>
  <si>
    <t>076587</t>
  </si>
  <si>
    <t>V3J-501</t>
  </si>
  <si>
    <t>FLORES CHIPANA, RAUL</t>
  </si>
  <si>
    <t>MAMANI ASTULLE, JUANA PAULA</t>
  </si>
  <si>
    <t>095975</t>
  </si>
  <si>
    <t>V3E-456</t>
  </si>
  <si>
    <t>KANA FERATA, MAGALI NELIDA</t>
  </si>
  <si>
    <t>KANA FERATA, NANCI JANETH</t>
  </si>
  <si>
    <t>CACERES JORDAN, REYNA NATALIA</t>
  </si>
  <si>
    <t>CACERES JORDAN, BETY</t>
  </si>
  <si>
    <t>078641</t>
  </si>
  <si>
    <t>C2F-625</t>
  </si>
  <si>
    <t>JIMENEZ CISNEROS, CRISTHIAN</t>
  </si>
  <si>
    <t>083280</t>
  </si>
  <si>
    <t>X1J-466</t>
  </si>
  <si>
    <t>QUISPE SUCASACA, ANAHI</t>
  </si>
  <si>
    <t>078064</t>
  </si>
  <si>
    <t>V3L-603</t>
  </si>
  <si>
    <t>BALCON FERNANDEZ, MAXIMO</t>
  </si>
  <si>
    <t>V2I-532</t>
  </si>
  <si>
    <t>CCARI QUISPE, WALTER DANIEL</t>
  </si>
  <si>
    <t>V2T-015</t>
  </si>
  <si>
    <t>GALDOS SANCHEZ, DENNIS JUVENAL</t>
  </si>
  <si>
    <t>FH-1166</t>
  </si>
  <si>
    <t>MAMANI QUISPE, JOSE MANUEL</t>
  </si>
  <si>
    <t>SH-6607</t>
  </si>
  <si>
    <t>ZEVALLOS APAZA, MELQUIADES</t>
  </si>
  <si>
    <t>V4Q-775</t>
  </si>
  <si>
    <t>CALDERON QUISPE, ANA</t>
  </si>
  <si>
    <t>OYOLA JIMENEZ, YOLANDA FELICITAS</t>
  </si>
  <si>
    <t>HUAYTA DE ROMERO, SEGUNDINA</t>
  </si>
  <si>
    <t>V3B-968</t>
  </si>
  <si>
    <t>SALAS QUISPE, BALVINA</t>
  </si>
  <si>
    <t>FH-6217</t>
  </si>
  <si>
    <t>VARGAYA PEREZ, MIRIAN ROXANA</t>
  </si>
  <si>
    <t>EH-5662</t>
  </si>
  <si>
    <t>SEDANO MENDOZA, KIMBERLY</t>
  </si>
  <si>
    <t>V1X-426</t>
  </si>
  <si>
    <t>ALVAREZ ALVAREZ, CAMILA PAOLA</t>
  </si>
  <si>
    <t>Z2J-737</t>
  </si>
  <si>
    <t>YANQUE FLORES, JERONIMO EMILIANO</t>
  </si>
  <si>
    <t>RH-8674</t>
  </si>
  <si>
    <t>ZAMATA CHICAÑA, MARTIN NOLBERTO</t>
  </si>
  <si>
    <t>D4J-672</t>
  </si>
  <si>
    <t>PATIÑO MAMANI, ANNY MARIA</t>
  </si>
  <si>
    <t>FH-1018</t>
  </si>
  <si>
    <t>PAUCA, FLORES, MARILYN</t>
  </si>
  <si>
    <t>ARESTEGUI PAUCA, VALERY</t>
  </si>
  <si>
    <t>V4F-312</t>
  </si>
  <si>
    <t>GUZMAN CRUZ, ERIKA</t>
  </si>
  <si>
    <t>V3A-607</t>
  </si>
  <si>
    <t>MORALES GONZALES, ROGER MARCO</t>
  </si>
  <si>
    <t>CAZA DIAZ, STEFANY NYCOLE</t>
  </si>
  <si>
    <t>V3T-678</t>
  </si>
  <si>
    <t>CARLO APAZA, KARIN FABIOLA</t>
  </si>
  <si>
    <t>V2A-004</t>
  </si>
  <si>
    <t>PIZARRO BRAVO, GABRIELA</t>
  </si>
  <si>
    <t>FH-1265</t>
  </si>
  <si>
    <t>MENDOZA VIZCARDO, ALEX</t>
  </si>
  <si>
    <t>BOS-696</t>
  </si>
  <si>
    <t>ZANABRIA HUANCA, JUAN CARLOS</t>
  </si>
  <si>
    <t>EH-9948</t>
  </si>
  <si>
    <t>MANRIQUE CHACON, SUGEILY DANIA</t>
  </si>
  <si>
    <t>V2L-663</t>
  </si>
  <si>
    <t>PHILCO ARCE, GREGORIO</t>
  </si>
  <si>
    <t>LLACHA CRUZ, NATALIA</t>
  </si>
  <si>
    <t>ALCA CHOQUEHUANCA, EVELIN</t>
  </si>
  <si>
    <t>V2C-291</t>
  </si>
  <si>
    <t>SALINAS PEREZ, MAXIMILIANA</t>
  </si>
  <si>
    <t>FH-6386</t>
  </si>
  <si>
    <t>HUAHUACHAMBI MACHACA, JONATHAN</t>
  </si>
  <si>
    <t>V2X-689</t>
  </si>
  <si>
    <t>QUISPE LAGOS, DAIVY</t>
  </si>
  <si>
    <t>V2V-378</t>
  </si>
  <si>
    <t>CANQUI ECOS, GONZALO</t>
  </si>
  <si>
    <t>V3Q-435</t>
  </si>
  <si>
    <t>CARI VELASQUEZ, JHON</t>
  </si>
  <si>
    <t>AQR-630</t>
  </si>
  <si>
    <t>ESPINOZA ANAMPA, WALTER A</t>
  </si>
  <si>
    <t>GH-4140</t>
  </si>
  <si>
    <t>MEDINA RODRIGUEZ, MARIA JOSE</t>
  </si>
  <si>
    <t>V5Q-445</t>
  </si>
  <si>
    <t>AQUISE MAMANI, SEBASTIANA</t>
  </si>
  <si>
    <t>JARAMILLO VILCA, CELIA</t>
  </si>
  <si>
    <t>CCOPA JARAMILLO, LUANA</t>
  </si>
  <si>
    <t>CCOPA JARAMILLO, JULIO CESAR</t>
  </si>
  <si>
    <t>CCOPA AQUISE, JULIO CESAR</t>
  </si>
  <si>
    <t>V4L-361</t>
  </si>
  <si>
    <t>COLCA ZAMATA, MATILDE MARIA</t>
  </si>
  <si>
    <t>GH-5172</t>
  </si>
  <si>
    <t>PAUCAR AGUILAR, JUDITH/RUTH ALBINA</t>
  </si>
  <si>
    <t>ALEJO PAUCAR, SAORI MARIBEL</t>
  </si>
  <si>
    <t>FH-4959</t>
  </si>
  <si>
    <t>RAMIREZ CUADROS, CARMEN</t>
  </si>
  <si>
    <t>V1C-139</t>
  </si>
  <si>
    <t>V1X-771</t>
  </si>
  <si>
    <t>CARAZAS VALDIVIA, JUANA SATURNINA</t>
  </si>
  <si>
    <t>V1G-464</t>
  </si>
  <si>
    <t>CHAMBI BEDREGAL, DAYANA GRIGUITTE</t>
  </si>
  <si>
    <t>B2G-752</t>
  </si>
  <si>
    <t>SANTANDER QUISPE, DIEGO ALONSO</t>
  </si>
  <si>
    <t>FH-4250</t>
  </si>
  <si>
    <t>USURIAGA CALIZAYA, MAYERLI JAMILET</t>
  </si>
  <si>
    <t>USURIAGA CUTI, ELMER</t>
  </si>
  <si>
    <t>FH-1499</t>
  </si>
  <si>
    <t>FERNANDEZ ALVAREZ, LUCAS</t>
  </si>
  <si>
    <t>PRADO VDA. DE HINOJOSA, NINFA</t>
  </si>
  <si>
    <t>Z2W-713</t>
  </si>
  <si>
    <t>MEDINA RAMOS, GIULIANA</t>
  </si>
  <si>
    <t>ESCALANTE MAMANI, ANGELICA</t>
  </si>
  <si>
    <t>V4L-632</t>
  </si>
  <si>
    <t>GUERRERO SARAYA, DANNA MISHELL</t>
  </si>
  <si>
    <t>B9X-450</t>
  </si>
  <si>
    <t>SOTO GÓMEZ, ELIANA LILY</t>
  </si>
  <si>
    <t>V1X-156</t>
  </si>
  <si>
    <t>ESCALANTE QUEQUEZANA, GONZALO</t>
  </si>
  <si>
    <t>V3Y-000</t>
  </si>
  <si>
    <t>OLAECHEA ACHA, GODOFREDO</t>
  </si>
  <si>
    <t>V2U-623</t>
  </si>
  <si>
    <t>TIPULA QUICO, ANTUANET</t>
  </si>
  <si>
    <t>SUCASACA MAMANI, EDITH</t>
  </si>
  <si>
    <t>TIPULA QUICO, AARON</t>
  </si>
  <si>
    <t>TIPULA SUCASACA, ANABEL</t>
  </si>
  <si>
    <t>V3V-628</t>
  </si>
  <si>
    <t>ZUÑIGA SALAZAR, OMAR</t>
  </si>
  <si>
    <t>V2Y-246</t>
  </si>
  <si>
    <t>BEDREGAL AYALA, YOFREE</t>
  </si>
  <si>
    <t>V8I-952</t>
  </si>
  <si>
    <t>V4F-109</t>
  </si>
  <si>
    <t>CONDORI ACOSTA, LUPE CRISTINA</t>
  </si>
  <si>
    <t>FH-1705</t>
  </si>
  <si>
    <t>CONDORI LLERENA, JOSEPH ADRIAN</t>
  </si>
  <si>
    <t>LLERENE ESQUICHE, HELBERTH</t>
  </si>
  <si>
    <t>V1R-509</t>
  </si>
  <si>
    <t>HUERTA DE CARPIO, YSAURA YOLANDA</t>
  </si>
  <si>
    <t>V4W-140</t>
  </si>
  <si>
    <t>Z1Z-749</t>
  </si>
  <si>
    <t>AGUIRRE GUZMAN DE CHIRINOS, IVIS LOURDES</t>
  </si>
  <si>
    <t>X1J-750</t>
  </si>
  <si>
    <t>ATAUCURI CRUZ, WILVER</t>
  </si>
  <si>
    <t>B3K-741</t>
  </si>
  <si>
    <t>CCALLO ESPETIA, MARY LUZ</t>
  </si>
  <si>
    <t>FH-3931</t>
  </si>
  <si>
    <t>LUQUE GAMERO, HERNANDO</t>
  </si>
  <si>
    <t>LUQUE CHAVEZ, PAOLA DAMIANA</t>
  </si>
  <si>
    <t>CHATA RODRIGUEZ, ALEXANDER RENE</t>
  </si>
  <si>
    <t>V4Z-698</t>
  </si>
  <si>
    <t>ESCALANTE LINARES, BERTHA MARIA</t>
  </si>
  <si>
    <t>ESCALANTE LINARES, DORA</t>
  </si>
  <si>
    <t>MENDOZA ESCALANTE, GIANPIER JOSUE</t>
  </si>
  <si>
    <t>UH-3779</t>
  </si>
  <si>
    <t>MAMANI HUANACO DE QUISPE, ROSA</t>
  </si>
  <si>
    <t>FH-1617</t>
  </si>
  <si>
    <t>CANSAYA CASTELLANOS, JAIME</t>
  </si>
  <si>
    <t>V2L-492</t>
  </si>
  <si>
    <t>MAMANI RAMOS, ALDO JUNIOR</t>
  </si>
  <si>
    <t>FH-2529</t>
  </si>
  <si>
    <t>HUALLPA RIVERA, MARCO AURELIO</t>
  </si>
  <si>
    <t>V3W-217</t>
  </si>
  <si>
    <t>GUTIERREZ CHALCO, JULIO ENRIQUE</t>
  </si>
  <si>
    <t>V5H-115</t>
  </si>
  <si>
    <t>VALDIVIA PEREZ, ELIANA</t>
  </si>
  <si>
    <t>RAMIREZ VALDIVIA, JHOJANA</t>
  </si>
  <si>
    <t>V2S-490</t>
  </si>
  <si>
    <t>VERA CALDERON, FRANCISCO</t>
  </si>
  <si>
    <t>B1L-392</t>
  </si>
  <si>
    <t>CUBA VERA, FIORELLA</t>
  </si>
  <si>
    <t>EH-9555</t>
  </si>
  <si>
    <t>ESPINOZA CALDERON, CARLA</t>
  </si>
  <si>
    <t>V2J-675</t>
  </si>
  <si>
    <t>GARCIA ALCAZAR, MARIO ANTONIO</t>
  </si>
  <si>
    <t>V3S-373</t>
  </si>
  <si>
    <t>MAMANI SUCA, KATHERINE RUTH</t>
  </si>
  <si>
    <t>V3E-532</t>
  </si>
  <si>
    <t>CABANA CAUSTA, ALBERTO PASTOR</t>
  </si>
  <si>
    <t>EH-8498</t>
  </si>
  <si>
    <t>KIPS FERNANDEZ, ALEXANDER ALBERT</t>
  </si>
  <si>
    <t>V3T-593</t>
  </si>
  <si>
    <t>PERALTA MONROY, WALTER HUGO</t>
  </si>
  <si>
    <t>C0J-282</t>
  </si>
  <si>
    <t>ACHUMA OJEDA, JUSTO</t>
  </si>
  <si>
    <t>B4B-096</t>
  </si>
  <si>
    <t>LARAPA CARI, LUIS</t>
  </si>
  <si>
    <t>V3H-742</t>
  </si>
  <si>
    <t>MAMANI ANCALLA, JOSE MANUEL</t>
  </si>
  <si>
    <t>FH-7013</t>
  </si>
  <si>
    <t>LANDA VENTURA, ISELA</t>
  </si>
  <si>
    <t>V5Q-075</t>
  </si>
  <si>
    <t>ALVIS VASQUEZ, VICTOR MANUEL</t>
  </si>
  <si>
    <t>V4L-199</t>
  </si>
  <si>
    <t>SANTIBAÑEZ BELLOTA, INDIRA XIOMARA</t>
  </si>
  <si>
    <t>SANTIBAÑEZ BELLOTA, DARIL</t>
  </si>
  <si>
    <t>CASTRO SANCHEZ, ESTRELLA SOLEDAD</t>
  </si>
  <si>
    <t>BELLOTA REYES, MARILU ASUNCION</t>
  </si>
  <si>
    <t>ATAYUPANQUI SANTIBAÑEZ, ZOE SHERYL</t>
  </si>
  <si>
    <t>ATAYUPANQUI SANTIBAÑEZ, ARIANA RYGEL</t>
  </si>
  <si>
    <t>FH-1098</t>
  </si>
  <si>
    <t>MAQUERA VELASQUEZ, KARLANGELA</t>
  </si>
  <si>
    <t>Z1Z--704</t>
  </si>
  <si>
    <t>ARCE PICARDO, RITA</t>
  </si>
  <si>
    <t>A1Z-744</t>
  </si>
  <si>
    <t>AGUILAR FLORES, YRAIDA LOURDES</t>
  </si>
  <si>
    <t>B2C-782</t>
  </si>
  <si>
    <t>MANRIQUE LUQUE, EDWIN HERNAN</t>
  </si>
  <si>
    <t>V3I-180</t>
  </si>
  <si>
    <t>LOPEZ PINTO, GUILLERMO ABRAAM</t>
  </si>
  <si>
    <t>EH-9824</t>
  </si>
  <si>
    <t>HANCCO CCOMPI, JUAN ESTEBAN</t>
  </si>
  <si>
    <t>V4N-530</t>
  </si>
  <si>
    <t>SOSA NINA, SERGIO ARMANDO</t>
  </si>
  <si>
    <t>SOSA NINA, KAREN</t>
  </si>
  <si>
    <t>SOSA CAHUANA, NESTOR</t>
  </si>
  <si>
    <t>SOSA CAHUANA, JUAN DANIEL</t>
  </si>
  <si>
    <t>Z1E-728</t>
  </si>
  <si>
    <t>VARGAS NEGRON, RUTH</t>
  </si>
  <si>
    <t>V1V-720</t>
  </si>
  <si>
    <t>ANCO CHILO, MARIA MAGDALENA</t>
  </si>
  <si>
    <t>V4M-424</t>
  </si>
  <si>
    <t>YARI ZAMBRANO, MARLENI ELIANA</t>
  </si>
  <si>
    <t>FH-1221</t>
  </si>
  <si>
    <t>GOMEZ MACHUCA, JACOB</t>
  </si>
  <si>
    <t>V2W-008</t>
  </si>
  <si>
    <t>CONDORI MACHACA, PERCY</t>
  </si>
  <si>
    <t>C1P-523</t>
  </si>
  <si>
    <t>QUISPE PALOMINO, MAURICIA</t>
  </si>
  <si>
    <t>V5Q-328</t>
  </si>
  <si>
    <t>PERALTA CASTRO, STEFANY</t>
  </si>
  <si>
    <t>V2B-626</t>
  </si>
  <si>
    <t>PUMA QUISPE, EMERSON</t>
  </si>
  <si>
    <t>A2O-355</t>
  </si>
  <si>
    <t>UGARTE QUIÑONES, NOEMI</t>
  </si>
  <si>
    <t>BGW-788</t>
  </si>
  <si>
    <t>BENGOA LAZARTE, JEANNETTE ROSA</t>
  </si>
  <si>
    <t>V3V-292</t>
  </si>
  <si>
    <t>CCOPA QQUENTA, ELIAS</t>
  </si>
  <si>
    <t>V3B-424</t>
  </si>
  <si>
    <t>JUSTO ZUZUNAGA, MARIA CECILIA</t>
  </si>
  <si>
    <t>V4Y-585</t>
  </si>
  <si>
    <t>CHIPANA PACHECO, JORGE</t>
  </si>
  <si>
    <t>V4S-545</t>
  </si>
  <si>
    <t>GUTIERREZ MAMANI, JORGE</t>
  </si>
  <si>
    <t>GUTIERREZ HUAYHUA, SHEYLA</t>
  </si>
  <si>
    <t>V4Y-271</t>
  </si>
  <si>
    <t>MAMANI YANA, IRMA HILARIA</t>
  </si>
  <si>
    <t>Z2A-703</t>
  </si>
  <si>
    <t>ALMONTE DE HUAMAN, BERTHA</t>
  </si>
  <si>
    <t>NN. EUFENIA</t>
  </si>
  <si>
    <t>V5B-003</t>
  </si>
  <si>
    <t>CARI DIAZ, FIORELLA</t>
  </si>
  <si>
    <t>V2S-614</t>
  </si>
  <si>
    <t>CHARAJA GONZALES, ESTHER</t>
  </si>
  <si>
    <t>VELASQUEZ CRUZ, JOSE</t>
  </si>
  <si>
    <t>VELASQUEZ CRUZ, PEDRO</t>
  </si>
  <si>
    <t>VALERO RODRIGUEZ, ROLANDO</t>
  </si>
  <si>
    <t>V2J-677</t>
  </si>
  <si>
    <t>MARTELL PAZ, MELANY YAZMIN</t>
  </si>
  <si>
    <t>TH-3033</t>
  </si>
  <si>
    <t>SARA GUTIERREZ, CARLOS ALBERTO</t>
  </si>
  <si>
    <t>SARA GUTIERREZ, SOPHIA</t>
  </si>
  <si>
    <t>SARA VELARDE, GABRIEL</t>
  </si>
  <si>
    <t>V4A-010</t>
  </si>
  <si>
    <t>PRO ARAGON, SEJEY</t>
  </si>
  <si>
    <t>LO-9535</t>
  </si>
  <si>
    <t>V2I-440</t>
  </si>
  <si>
    <t>PORTOCARRERO TAMAYO, CESAR ERNESTO</t>
  </si>
  <si>
    <t>UK-3330</t>
  </si>
  <si>
    <t>ECHEVARRIA CARAPI, KEVIN JHAIR</t>
  </si>
  <si>
    <t>BZ-2488</t>
  </si>
  <si>
    <t>HERRERA DE RODRIGUEZ, FANY</t>
  </si>
  <si>
    <t>X1J-798</t>
  </si>
  <si>
    <t>BARRIONUEVO VALERO, SOFIA</t>
  </si>
  <si>
    <t>V4C-122</t>
  </si>
  <si>
    <t>MIRANDA HUAMANI, ESTHER MARIA</t>
  </si>
  <si>
    <t>V3E-758</t>
  </si>
  <si>
    <t>OJEDA BARRANTES, RAUL PERCY</t>
  </si>
  <si>
    <t>SOTO PONGO, CLAUDIA KARINA</t>
  </si>
  <si>
    <t>APAZA SOTO, JASMIN ALEJANDRA</t>
  </si>
  <si>
    <t>QUSPE TORRES, ROCIO DEL PILAR</t>
  </si>
  <si>
    <t>V2-6202</t>
  </si>
  <si>
    <t>MAMANI TAYPE, LEONEL</t>
  </si>
  <si>
    <t>AREQUIPA-CASTILLA</t>
  </si>
  <si>
    <t>CALCINA VILCA, JUDTH</t>
  </si>
  <si>
    <t>BUENDIA PEREZ, JAZMIN</t>
  </si>
  <si>
    <t>CONDORI QUISPE, ELVIRA</t>
  </si>
  <si>
    <t>GOMEZ NUÑEZ, EVER RONAL</t>
  </si>
  <si>
    <t>PACHECO PALOMINO, NOEMI RICARDINA</t>
  </si>
  <si>
    <t>PACHECO PALOMINO, ELVIA</t>
  </si>
  <si>
    <t>MAMANI ORTIZ, PERCY E.</t>
  </si>
  <si>
    <t>ANCO QUISPE, ARNALDO</t>
  </si>
  <si>
    <t>GAMA ZAVALA, PAMELA</t>
  </si>
  <si>
    <t>BEDOYA JAEN, SALOME CESAREA</t>
  </si>
  <si>
    <t>RIVERA RODRIGUEZ, ROSA</t>
  </si>
  <si>
    <t>PAREDES CERPA, ALIPIO GUILLERMO</t>
  </si>
  <si>
    <t>APAZA PAREDES, JESICA</t>
  </si>
  <si>
    <t>ATAMARI MAMANI, JUAN JULIO</t>
  </si>
  <si>
    <t>HUAYHUA BENITES, MARLENI</t>
  </si>
  <si>
    <t>XXX YYY NNN</t>
  </si>
  <si>
    <t>MANRIQUE SALAS, SILVIA</t>
  </si>
  <si>
    <t>SULCA AÑASCO, BENIGNO</t>
  </si>
  <si>
    <t>GAVILAN MEDINA, GABRIELA</t>
  </si>
  <si>
    <t>PEREZ PASTOR, RICARDO EMILIO</t>
  </si>
  <si>
    <t>FLOREZ USCA, MARGIHORY MELANY</t>
  </si>
  <si>
    <t>APAZA MAMANI, ANDRES</t>
  </si>
  <si>
    <t>MOGROVEJO LOAYZA, YURI</t>
  </si>
  <si>
    <t>ASILLO PACARA, TOMASA</t>
  </si>
  <si>
    <t>SANCHEZ CCACYA, JUAN GENARO</t>
  </si>
  <si>
    <t>SOTO BUSTINZA, JUANA</t>
  </si>
  <si>
    <t>TURPO SERNA, NICOLAS</t>
  </si>
  <si>
    <t>HUANCA FLORES, DAPHNE</t>
  </si>
  <si>
    <t>FLORES RAMIREZ, ESTHER</t>
  </si>
  <si>
    <t>ESCOBAR FLORES, ESTEBAN</t>
  </si>
  <si>
    <t>FLORES RAMIREZ, ARACELI</t>
  </si>
  <si>
    <t>GALLARDO GOMEZ, LISETT</t>
  </si>
  <si>
    <t>HUANQQUE SAICO, LIDIA</t>
  </si>
  <si>
    <t>ARAGON DELGADO, YOSHIRO ALEXANDRA</t>
  </si>
  <si>
    <t>ENRIQUEZ REQUENA, YANELLA HEDAY</t>
  </si>
  <si>
    <t>CHARA COAGUILA, AMALIA</t>
  </si>
  <si>
    <t>VASQUEZ AYALA, CRISTHELL ALONDRA HARUMI</t>
  </si>
  <si>
    <t>AYALA MAMANI, GISELA</t>
  </si>
  <si>
    <t>LOZANO JARA, TANI FIORELLA</t>
  </si>
  <si>
    <t>OVIEDO ARREDONDO, VICTOR</t>
  </si>
  <si>
    <t>MACHACA APAZA, LIZIA DAYANIRA</t>
  </si>
  <si>
    <t>ARREDONDO PINARES, LIDIA</t>
  </si>
  <si>
    <t>CUEVA ARAPA, LUCIANO</t>
  </si>
  <si>
    <t>CUEVA ARAPA, SEBASTIAN</t>
  </si>
  <si>
    <t>NN/ HUAMANI CONDORI, RAFAEL</t>
  </si>
  <si>
    <t>QUISPE CALLA, CELESTINA</t>
  </si>
  <si>
    <t>CHOQUE PUMA, ADOLFO</t>
  </si>
  <si>
    <t>QUISPE FLORES, CARLOS</t>
  </si>
  <si>
    <t>PORRAS DIAZ, QUINTIN PEDRO</t>
  </si>
  <si>
    <t>GUTIERREZ DE MIRANDA, JUANA FRANCISCA</t>
  </si>
  <si>
    <t>HUAYTA LOAYZA, GRACIELA</t>
  </si>
  <si>
    <t>MACEDO ARANZAENS, MARIA ANGELICA</t>
  </si>
  <si>
    <t>MARTINEZ GONZALES, LUIS</t>
  </si>
  <si>
    <t>LEO PAUCAR, DAYANA</t>
  </si>
  <si>
    <t>FARFAN CONCHA, THALIA</t>
  </si>
  <si>
    <t>PUMA CANAHUIRI, GLORIA</t>
  </si>
  <si>
    <t>VALLE CERPA, FLOR</t>
  </si>
  <si>
    <t>GOMEZ CUEVAS, LUCERO</t>
  </si>
  <si>
    <t>COAQUIRA YUCRA, HELEN</t>
  </si>
  <si>
    <t>PILCO VILCA, PAOLA</t>
  </si>
  <si>
    <t>TITO COILA, MARISOL</t>
  </si>
  <si>
    <t>MAQUERA HUAMANI, MARIBEL</t>
  </si>
  <si>
    <t>CASTILLO ORTIZ, JESSENIA</t>
  </si>
  <si>
    <t>TITO DIAZ, EIMY</t>
  </si>
  <si>
    <t>TAMAYO GUZMAN, MARYORI</t>
  </si>
  <si>
    <t>CCONCHA PUMA, FLOR</t>
  </si>
  <si>
    <t>MANCHEGO PEREZ, ANGHELA</t>
  </si>
  <si>
    <t>ACROTA QUISPE, KARINA</t>
  </si>
  <si>
    <t>ANGULO RETAMOZO, JORGE</t>
  </si>
  <si>
    <t>DELGADO FLORES, FORTUNATA</t>
  </si>
  <si>
    <t>LOPEZ SOSA, SEBASTIAN</t>
  </si>
  <si>
    <t>ORCCON CAYTUYRO, HERNAN</t>
  </si>
  <si>
    <t>CASTAÑEDA NUÑEZ, FIORELLA</t>
  </si>
  <si>
    <t>NUÑEZ CORNEJO, KARIN EVELYN</t>
  </si>
  <si>
    <t>VALENCIA SALAS, JOSE</t>
  </si>
  <si>
    <t>094459</t>
  </si>
  <si>
    <t>V5N-327</t>
  </si>
  <si>
    <t>096024</t>
  </si>
  <si>
    <t>Z5C-758</t>
  </si>
  <si>
    <t>094599</t>
  </si>
  <si>
    <t>D2V-646</t>
  </si>
  <si>
    <t>089035</t>
  </si>
  <si>
    <t>V5D-379</t>
  </si>
  <si>
    <t>095544</t>
  </si>
  <si>
    <t>4039-5M</t>
  </si>
  <si>
    <t>V2L-493</t>
  </si>
  <si>
    <t>089574</t>
  </si>
  <si>
    <t>088813</t>
  </si>
  <si>
    <t>V2B-057</t>
  </si>
  <si>
    <t>076571</t>
  </si>
  <si>
    <t>DH-9668</t>
  </si>
  <si>
    <t>084960</t>
  </si>
  <si>
    <t>B1E-722</t>
  </si>
  <si>
    <t>090612</t>
  </si>
  <si>
    <t>V2S-073</t>
  </si>
  <si>
    <t>V3H-065</t>
  </si>
  <si>
    <t>077266</t>
  </si>
  <si>
    <t>084829</t>
  </si>
  <si>
    <t>A5Q-753</t>
  </si>
  <si>
    <t>076089</t>
  </si>
  <si>
    <t>FH-1352</t>
  </si>
  <si>
    <t>076263</t>
  </si>
  <si>
    <t>DH-3108</t>
  </si>
  <si>
    <t>077973</t>
  </si>
  <si>
    <t>A7V-748</t>
  </si>
  <si>
    <t>Z2U-743</t>
  </si>
  <si>
    <t>083067</t>
  </si>
  <si>
    <t>087645</t>
  </si>
  <si>
    <t>C0K-735</t>
  </si>
  <si>
    <t>087480</t>
  </si>
  <si>
    <t>V2N-378</t>
  </si>
  <si>
    <t>076243</t>
  </si>
  <si>
    <t>C3P-272</t>
  </si>
  <si>
    <t>077367</t>
  </si>
  <si>
    <t>V4N-577</t>
  </si>
  <si>
    <t>089110</t>
  </si>
  <si>
    <t>V3S-680</t>
  </si>
  <si>
    <t>084281</t>
  </si>
  <si>
    <t>V5G-123</t>
  </si>
  <si>
    <t>V3L-685</t>
  </si>
  <si>
    <t>090153</t>
  </si>
  <si>
    <t>092847</t>
  </si>
  <si>
    <t>V4H-529</t>
  </si>
  <si>
    <t>095773</t>
  </si>
  <si>
    <t>V4I-287</t>
  </si>
  <si>
    <t>VILCA CRUZ, RODRIGO</t>
  </si>
  <si>
    <t>091375</t>
  </si>
  <si>
    <t>V2I-441</t>
  </si>
  <si>
    <t>096152</t>
  </si>
  <si>
    <t>V5M-128</t>
  </si>
  <si>
    <t>091097</t>
  </si>
  <si>
    <t>FH-4867</t>
  </si>
  <si>
    <t>087516</t>
  </si>
  <si>
    <t>V2V-059</t>
  </si>
  <si>
    <t>087395</t>
  </si>
  <si>
    <t>V5P-224</t>
  </si>
  <si>
    <t>084870</t>
  </si>
  <si>
    <t>FH-5187</t>
  </si>
  <si>
    <t>087140</t>
  </si>
  <si>
    <t>092858</t>
  </si>
  <si>
    <t>V3V-525</t>
  </si>
  <si>
    <t>089696</t>
  </si>
  <si>
    <t>V2Z-597</t>
  </si>
  <si>
    <t>086617</t>
  </si>
  <si>
    <t>EH-8406</t>
  </si>
  <si>
    <t>090470</t>
  </si>
  <si>
    <t>083404</t>
  </si>
  <si>
    <t>V2J-102</t>
  </si>
  <si>
    <t>PACHECO LIZARRAGA, RUTH VIRGINIA</t>
  </si>
  <si>
    <t>095587</t>
  </si>
  <si>
    <t>V1I-001</t>
  </si>
  <si>
    <t>HUAMANVILCA CCAHUATA, RONALD</t>
  </si>
  <si>
    <t>085828</t>
  </si>
  <si>
    <t>V2E-227</t>
  </si>
  <si>
    <t>099330</t>
  </si>
  <si>
    <t>V1E-785</t>
  </si>
  <si>
    <t>GARRAFO MANZANO, ANDRE</t>
  </si>
  <si>
    <t>096862</t>
  </si>
  <si>
    <t>EH-2379</t>
  </si>
  <si>
    <t>URDAY CHANCOLLA, NARCISO TEODORO</t>
  </si>
  <si>
    <t>083603</t>
  </si>
  <si>
    <t>V3S-214</t>
  </si>
  <si>
    <t>MAMANI SUMINA, JOSELYN B</t>
  </si>
  <si>
    <t>083107</t>
  </si>
  <si>
    <t>V2J-516</t>
  </si>
  <si>
    <t>LAURA HANCO, ROSA</t>
  </si>
  <si>
    <t>QUISPE MAMANI, MARTIN</t>
  </si>
  <si>
    <t>CENTENO QUISPE, RUFINA</t>
  </si>
  <si>
    <t>088641</t>
  </si>
  <si>
    <t>Z1P-744</t>
  </si>
  <si>
    <t>087603</t>
  </si>
  <si>
    <t>V2Y-301</t>
  </si>
  <si>
    <t>091110</t>
  </si>
  <si>
    <t>B4W-432</t>
  </si>
  <si>
    <t>LARA MANTILLA, FANNY</t>
  </si>
  <si>
    <t>CARI LARA, GIORGIO</t>
  </si>
  <si>
    <t>086995</t>
  </si>
  <si>
    <t>V1E-722</t>
  </si>
  <si>
    <t>GUZMAN ARENAS, LEONOR VICENTE</t>
  </si>
  <si>
    <t>MENDOZA LIMA, JUAN LUIS</t>
  </si>
  <si>
    <t>MAMANI DE HUILLCA, JUANA</t>
  </si>
  <si>
    <t>HILARIO ZAPA, YOSHI AISER</t>
  </si>
  <si>
    <t>ZAPA CERNA, CENOVIA</t>
  </si>
  <si>
    <t>AGUILAR TICONA, FLOR</t>
  </si>
  <si>
    <t>088689</t>
  </si>
  <si>
    <t>V2J-696</t>
  </si>
  <si>
    <t>TACCA CUTIPA, ALEXANDER CRISTIAM</t>
  </si>
  <si>
    <t>080695</t>
  </si>
  <si>
    <t>V2Q-669</t>
  </si>
  <si>
    <t>083178</t>
  </si>
  <si>
    <t>H1I-266</t>
  </si>
  <si>
    <t>096104</t>
  </si>
  <si>
    <t>V2O-605</t>
  </si>
  <si>
    <t>MILLADO VILLANTA, YUREDA</t>
  </si>
  <si>
    <t>085779</t>
  </si>
  <si>
    <t>V3Y-131</t>
  </si>
  <si>
    <t>CONDORI VILCA, YANETH CARMEN</t>
  </si>
  <si>
    <t>GOMEZ CHOQUE, CARMEN ROSA</t>
  </si>
  <si>
    <t>MACHACA GOMEZ, MARCELO</t>
  </si>
  <si>
    <t>090913</t>
  </si>
  <si>
    <t>V2M-510</t>
  </si>
  <si>
    <t>CUNO QUISPE, AMBAR</t>
  </si>
  <si>
    <t>091468</t>
  </si>
  <si>
    <t>EH-8062</t>
  </si>
  <si>
    <t>MORALES FLORES, EDWIN</t>
  </si>
  <si>
    <t>MORALES FLORES, CARMEN ROSA</t>
  </si>
  <si>
    <t>CHIPANA LIPE, ANGEL</t>
  </si>
  <si>
    <t>YUCRA MORALES, JOHAN GABRIEL</t>
  </si>
  <si>
    <t>094666</t>
  </si>
  <si>
    <t>V5W-672</t>
  </si>
  <si>
    <t>BAILON CASTRO, RAQUEL</t>
  </si>
  <si>
    <t>094316</t>
  </si>
  <si>
    <t>V4P-375</t>
  </si>
  <si>
    <t>MEJIA MENA, VENTURA</t>
  </si>
  <si>
    <t>079192</t>
  </si>
  <si>
    <t>EH-7464</t>
  </si>
  <si>
    <t>086077</t>
  </si>
  <si>
    <t>V1T-644</t>
  </si>
  <si>
    <t>MAMANI CONDORI, JOSE LUIS</t>
  </si>
  <si>
    <t>095332</t>
  </si>
  <si>
    <t>V2Y-492</t>
  </si>
  <si>
    <t>CARPIO TORRES LUCIANA</t>
  </si>
  <si>
    <t>097974</t>
  </si>
  <si>
    <t>V4I-603</t>
  </si>
  <si>
    <t>CUBA RODRIGUEZ MARYORI ALEXANDRA</t>
  </si>
  <si>
    <t>087929</t>
  </si>
  <si>
    <t>V3H-224</t>
  </si>
  <si>
    <t>MARIN COAQUIRA JULIANA</t>
  </si>
  <si>
    <t>085781</t>
  </si>
  <si>
    <t>V5A-540</t>
  </si>
  <si>
    <t>ANDRADE CHOQUEHUANCA YULY</t>
  </si>
  <si>
    <t>093475</t>
  </si>
  <si>
    <t>V5Q-575</t>
  </si>
  <si>
    <t>NAVEROS MOYA RODOLFO</t>
  </si>
  <si>
    <t>080862</t>
  </si>
  <si>
    <t>A6T-745</t>
  </si>
  <si>
    <t>CHACO HUISA INGRACIA</t>
  </si>
  <si>
    <t>095068</t>
  </si>
  <si>
    <t>TH-3245</t>
  </si>
  <si>
    <t>MAYTA AGUILAR, EDWIN RICHARD</t>
  </si>
  <si>
    <t>097418</t>
  </si>
  <si>
    <t>V2F-041</t>
  </si>
  <si>
    <t>HANCCO LAZARINOS HENRY</t>
  </si>
  <si>
    <t>079784</t>
  </si>
  <si>
    <t>EH-9884</t>
  </si>
  <si>
    <t>CHAMBI RAMOS ROLANDO</t>
  </si>
  <si>
    <t>097834</t>
  </si>
  <si>
    <t>V1O-009</t>
  </si>
  <si>
    <t>NOA SONCO ALFREDO FRANCISCO</t>
  </si>
  <si>
    <t>SIERRA ALVAREZ YAMILETH ALEJANDRA</t>
  </si>
  <si>
    <t>093826</t>
  </si>
  <si>
    <t>V5I-400</t>
  </si>
  <si>
    <t>096089</t>
  </si>
  <si>
    <t>V3G-113</t>
  </si>
  <si>
    <t>CORNEJO GALLEGOS, LUCRECIA</t>
  </si>
  <si>
    <t>086785</t>
  </si>
  <si>
    <t>V3I-641</t>
  </si>
  <si>
    <t>CACERES TAYPE JUSTINA</t>
  </si>
  <si>
    <t>ZAMALLOA VARGAS PAULA</t>
  </si>
  <si>
    <t>086580</t>
  </si>
  <si>
    <t>V4K-579</t>
  </si>
  <si>
    <t>091844</t>
  </si>
  <si>
    <t>V3G-748</t>
  </si>
  <si>
    <t>FLORES NARVAEZ DE MENDOZA, VALENTINA</t>
  </si>
  <si>
    <t>096842</t>
  </si>
  <si>
    <t>V5I-118</t>
  </si>
  <si>
    <t>LUQUE VILLANUEVA, CANDELARIA ISABEL</t>
  </si>
  <si>
    <t>SANGA LUQUE, JISSEL ISABEL</t>
  </si>
  <si>
    <t>92661</t>
  </si>
  <si>
    <t>A3L-047</t>
  </si>
  <si>
    <t>AGUILAR LAURA, LUIS ALFREDO</t>
  </si>
  <si>
    <t>ZEBALLOS BELTRAN, JORGE LUIS</t>
  </si>
  <si>
    <t>099576</t>
  </si>
  <si>
    <t>V4Q-313</t>
  </si>
  <si>
    <t>091688</t>
  </si>
  <si>
    <t>V3Z-317</t>
  </si>
  <si>
    <t>NUÑEZ MAMANI ALVARO HUMBERTO</t>
  </si>
  <si>
    <t>088637</t>
  </si>
  <si>
    <t>Y1D-455</t>
  </si>
  <si>
    <t>QUISPE HANCCO GLADYS</t>
  </si>
  <si>
    <t>091032</t>
  </si>
  <si>
    <t>V3U-458</t>
  </si>
  <si>
    <t>LOPEZ LUQUE JOSE CARLOS</t>
  </si>
  <si>
    <t>097862</t>
  </si>
  <si>
    <t>V5P-439</t>
  </si>
  <si>
    <t>HUAMAN RIVERA ALEX</t>
  </si>
  <si>
    <t>085135</t>
  </si>
  <si>
    <t>V3C-339</t>
  </si>
  <si>
    <t>QUILLA VILLASANTE CARMEN</t>
  </si>
  <si>
    <t>078772</t>
  </si>
  <si>
    <t>EH-9388</t>
  </si>
  <si>
    <t>HUAYNA CASANI FREDY</t>
  </si>
  <si>
    <t>085955</t>
  </si>
  <si>
    <t>EH-7435</t>
  </si>
  <si>
    <t>LOPEZ MENDOZA JUAN</t>
  </si>
  <si>
    <t>083627</t>
  </si>
  <si>
    <t>V1A-266</t>
  </si>
  <si>
    <t>LAZO URDAY JOHN</t>
  </si>
  <si>
    <t>HUANCA APAZA GLADYS SONIA</t>
  </si>
  <si>
    <t>092653</t>
  </si>
  <si>
    <t>V3V-068</t>
  </si>
  <si>
    <t>CCOSI MENDOZA ADAN FLORO</t>
  </si>
  <si>
    <t xml:space="preserve">091655 </t>
  </si>
  <si>
    <t>V2D-615</t>
  </si>
  <si>
    <t>ZUÑIGA RUIZ LUIS ALBERTO</t>
  </si>
  <si>
    <t>085882</t>
  </si>
  <si>
    <t>V1J-164</t>
  </si>
  <si>
    <t>088027</t>
  </si>
  <si>
    <t>FH-3710</t>
  </si>
  <si>
    <t>MOLLEDA PILCO FRANCISCO</t>
  </si>
  <si>
    <t>LAURA HANCCO ROSA</t>
  </si>
  <si>
    <t>CARHUAS SALAZAR BENIGNO</t>
  </si>
  <si>
    <t>088153</t>
  </si>
  <si>
    <t>V2F-514</t>
  </si>
  <si>
    <t>075176</t>
  </si>
  <si>
    <t>C5-6807</t>
  </si>
  <si>
    <t>PUMA SAPACAYO RUBEN</t>
  </si>
  <si>
    <t>086942</t>
  </si>
  <si>
    <t>V2R-688</t>
  </si>
  <si>
    <t>HUANCA TESCCO GREGORIA</t>
  </si>
  <si>
    <t>HERRERA LIMA JHON HENRY</t>
  </si>
  <si>
    <t>HERRERA HUANCA LUCERO</t>
  </si>
  <si>
    <t>AREQUIPA-MAJES</t>
  </si>
  <si>
    <t>MOTTA MONTOYA KAROLAY YESENIA</t>
  </si>
  <si>
    <t>MOTTA MONTOYA LILIA BRISCELA</t>
  </si>
  <si>
    <t>AFOCAT RAVISUR</t>
  </si>
  <si>
    <t>062800</t>
  </si>
  <si>
    <t>FH-6016</t>
  </si>
  <si>
    <t>VERA VIZCARRA, NATALY ALEJANDRA</t>
  </si>
  <si>
    <t>CHAMPI PACCORI, SOLEDAD</t>
  </si>
  <si>
    <t>SORAYA MENDOZA, HECTOR</t>
  </si>
  <si>
    <t>058869</t>
  </si>
  <si>
    <t>V3A-571</t>
  </si>
  <si>
    <t>SANDOVAL VARGAS, MARIA LUISA</t>
  </si>
  <si>
    <t>064475</t>
  </si>
  <si>
    <t>UH-4521</t>
  </si>
  <si>
    <t>MOLLEAPAZA FLORES, MOISES</t>
  </si>
  <si>
    <t>ANCO MAMANI, GLADIS</t>
  </si>
  <si>
    <t>MAMANI ALI, JUAN</t>
  </si>
  <si>
    <t>CHURA DE MAMANI, DIONISIA</t>
  </si>
  <si>
    <t>TORRES YANQUE, RUTH</t>
  </si>
  <si>
    <t>QUISPE VIUDA DE RODRIGUEZ, DOMITILA</t>
  </si>
  <si>
    <t>ROJAS DUEÑAS, SEFERINO GODOFREDO</t>
  </si>
  <si>
    <t>MAMANI LARICO, LUIS</t>
  </si>
  <si>
    <t>061961</t>
  </si>
  <si>
    <t>C6M-643</t>
  </si>
  <si>
    <t>CORDOVA CCAPIA, MATEO</t>
  </si>
  <si>
    <t>058135</t>
  </si>
  <si>
    <t>FH-2678</t>
  </si>
  <si>
    <t>BLANCO APAZA, EDGAR</t>
  </si>
  <si>
    <t>068028</t>
  </si>
  <si>
    <t>A5A-711</t>
  </si>
  <si>
    <t>FLORES CONTRERAS, MARCELINA</t>
  </si>
  <si>
    <t>064832</t>
  </si>
  <si>
    <t>V3P-592</t>
  </si>
  <si>
    <t>VELASCO VELASCO, ALAN</t>
  </si>
  <si>
    <t>059429</t>
  </si>
  <si>
    <t>ALEJO CAYETANO, MANUEL</t>
  </si>
  <si>
    <t>067312</t>
  </si>
  <si>
    <t>UH-2842</t>
  </si>
  <si>
    <t>HUANCARA QQUEHUA, LUIS</t>
  </si>
  <si>
    <t>059950</t>
  </si>
  <si>
    <t>TH-2187</t>
  </si>
  <si>
    <t>PAREDES MAMANI, GUMBERCINDO</t>
  </si>
  <si>
    <t>060518</t>
  </si>
  <si>
    <t>A8Q-775</t>
  </si>
  <si>
    <t>CHAMBI MAMANI, CAMINA</t>
  </si>
  <si>
    <t>064955</t>
  </si>
  <si>
    <t>V3O-619</t>
  </si>
  <si>
    <t>DIAZ TACO, FILIBERTO</t>
  </si>
  <si>
    <t>059040</t>
  </si>
  <si>
    <t>A6V-719</t>
  </si>
  <si>
    <t>GUTIERREZ HILACHI, DAVID</t>
  </si>
  <si>
    <t>064705</t>
  </si>
  <si>
    <t>FH-4520</t>
  </si>
  <si>
    <t>SALAS ARREDONDO, ESTEFANI</t>
  </si>
  <si>
    <t>063826</t>
  </si>
  <si>
    <t>B2F-565</t>
  </si>
  <si>
    <t>GUTIERREZ ARREDONDO, JESICA</t>
  </si>
  <si>
    <t>063983</t>
  </si>
  <si>
    <t>RZ-3664</t>
  </si>
  <si>
    <t>TICONA YERBA, ADRIAN</t>
  </si>
  <si>
    <t>069011</t>
  </si>
  <si>
    <t>V2I-664</t>
  </si>
  <si>
    <t>CABANA CHOQUE, ZAIDA</t>
  </si>
  <si>
    <t>AYALA CABANA, ALEJANDRA</t>
  </si>
  <si>
    <t>AYALA CABANA, BELEN</t>
  </si>
  <si>
    <t>RONDAN SANCHEZ, RENE</t>
  </si>
  <si>
    <t>072501</t>
  </si>
  <si>
    <t>Z2R-783</t>
  </si>
  <si>
    <t>GUEVARA, LEONOR ESTEBAN</t>
  </si>
  <si>
    <t>SALINAS TINAJEROS, RUBEN</t>
  </si>
  <si>
    <t>CCUNO CABANA, RAUL</t>
  </si>
  <si>
    <t>CABANA MORA, LUCIANA</t>
  </si>
  <si>
    <t>MALDONADO QUISPE, MONICA</t>
  </si>
  <si>
    <t>MENDOZA MALDONADO, JOSE ALONSO</t>
  </si>
  <si>
    <t>064825</t>
  </si>
  <si>
    <t>FH-3726</t>
  </si>
  <si>
    <t>JOYO FALCON, CLEVER</t>
  </si>
  <si>
    <t>069975</t>
  </si>
  <si>
    <t>V3Y-279</t>
  </si>
  <si>
    <t>MAMANI HILACHOQUE, JOSE LUIS</t>
  </si>
  <si>
    <t>PEREZ ARAPA, ROGER</t>
  </si>
  <si>
    <t>JIMENEZ CHUQUICONDOR, GABINO</t>
  </si>
  <si>
    <t>JIMENEZ AGUILAR, MICHAEL</t>
  </si>
  <si>
    <t>AGUILAR HUAYTA, NANCY</t>
  </si>
  <si>
    <t>MOROCCO CONDORI, FERNANDO</t>
  </si>
  <si>
    <t>MAMANI CONDORI, ANA LILIANA</t>
  </si>
  <si>
    <t>069857</t>
  </si>
  <si>
    <t>UH-4009</t>
  </si>
  <si>
    <t>MACHACA NINA, CATALINA</t>
  </si>
  <si>
    <t>CAHUINA KARINA, SEFERINO</t>
  </si>
  <si>
    <t>NEYRA GUTIERREZ, JOSE</t>
  </si>
  <si>
    <t>059817</t>
  </si>
  <si>
    <t>V1Y-618</t>
  </si>
  <si>
    <t>HUALLPA VALERIANO, PERCY JUNIOR</t>
  </si>
  <si>
    <t>057328</t>
  </si>
  <si>
    <t>V1Q-679</t>
  </si>
  <si>
    <t>CARRILLO VILLEGAS, HENRY</t>
  </si>
  <si>
    <t>SARMIENTO GARCIA, GENARO</t>
  </si>
  <si>
    <t>067405</t>
  </si>
  <si>
    <t>VG-3115</t>
  </si>
  <si>
    <t>AQUEPUCHO LLAYQUI, BRAULIO</t>
  </si>
  <si>
    <t>063430</t>
  </si>
  <si>
    <t>CONDORI CONDORI, RINA</t>
  </si>
  <si>
    <t>066830</t>
  </si>
  <si>
    <t>V2Y-209</t>
  </si>
  <si>
    <t>VILCA FIQUEROA, CATY DEL PILAR</t>
  </si>
  <si>
    <t>CHANINI GARATE, RENZO</t>
  </si>
  <si>
    <t>062772</t>
  </si>
  <si>
    <t>V3L-022</t>
  </si>
  <si>
    <t>TALA BALLON, ELEUTERIO</t>
  </si>
  <si>
    <t>063278</t>
  </si>
  <si>
    <t>CH-9364</t>
  </si>
  <si>
    <t>HUAMAN SOLIS, MAXIMILIANA</t>
  </si>
  <si>
    <t>067384</t>
  </si>
  <si>
    <t>Z3R-754</t>
  </si>
  <si>
    <t>MORANTE YANQUI, YENSHI</t>
  </si>
  <si>
    <t>067565</t>
  </si>
  <si>
    <t>C2X-087</t>
  </si>
  <si>
    <t>JIHUALLANCA CHAVEZ, JANETH OLGA</t>
  </si>
  <si>
    <t>067395</t>
  </si>
  <si>
    <t>RH-5367</t>
  </si>
  <si>
    <t>JERONIMO BUTRON, BRANDO JESNAT</t>
  </si>
  <si>
    <t>JERONIMO BUTRON, ZAHIR BAYRON</t>
  </si>
  <si>
    <t>GONZALES COAQUIRA, MONICA</t>
  </si>
  <si>
    <t>059832</t>
  </si>
  <si>
    <t>V1A-022</t>
  </si>
  <si>
    <t>ZABALA VILLAFUERTE, LILIANA</t>
  </si>
  <si>
    <t>VILCA JIMENEZ, FRESIA SOLEDAD</t>
  </si>
  <si>
    <t>068232</t>
  </si>
  <si>
    <t>EH-9399</t>
  </si>
  <si>
    <t>GUTIERREZ QUISPE, OSCAR NILVER</t>
  </si>
  <si>
    <t>063711</t>
  </si>
  <si>
    <t>V3N-425</t>
  </si>
  <si>
    <t>SULLASI SUCA, CRISTIAN</t>
  </si>
  <si>
    <t>068497</t>
  </si>
  <si>
    <t>GH-7610</t>
  </si>
  <si>
    <t>JOVE SONCCO, VICTOR</t>
  </si>
  <si>
    <t>V2F-686</t>
  </si>
  <si>
    <t>ARAOZ DE VALDEZ, VALERIA</t>
  </si>
  <si>
    <t>V2D-302</t>
  </si>
  <si>
    <t>SAMAME RAA, YAHAIRA BETSY</t>
  </si>
  <si>
    <t>070379</t>
  </si>
  <si>
    <t>FH-4350</t>
  </si>
  <si>
    <t>MEDRANO GRANDA, KETTY</t>
  </si>
  <si>
    <t>065815</t>
  </si>
  <si>
    <t>V2K-667</t>
  </si>
  <si>
    <t>HUALPA VALDEZ, VICTOR HUGO</t>
  </si>
  <si>
    <t>OLARTE MACHUCA, MARIA</t>
  </si>
  <si>
    <t>MACHUCA GARCIA, GLORIA</t>
  </si>
  <si>
    <t>069872</t>
  </si>
  <si>
    <t>Z1R-739</t>
  </si>
  <si>
    <t>GIL GOMEZ, JESUS ALBERTO</t>
  </si>
  <si>
    <t>072616</t>
  </si>
  <si>
    <t>V1S-415</t>
  </si>
  <si>
    <t>YUPANQUI MALQUI, ANANIA ANSELMO</t>
  </si>
  <si>
    <t>069483</t>
  </si>
  <si>
    <t>FH-5333</t>
  </si>
  <si>
    <t>VILLACONDO TEOBALDO, LEONARDO</t>
  </si>
  <si>
    <t>LUNA SAIRITUPAC, NINFA</t>
  </si>
  <si>
    <t>VILLA LUNA, YESIRA</t>
  </si>
  <si>
    <t>VILLA LUNA, YADIRA</t>
  </si>
  <si>
    <t>061055</t>
  </si>
  <si>
    <t>GODOY ZANABRIA, SABINA</t>
  </si>
  <si>
    <t>071322</t>
  </si>
  <si>
    <t>EH-6546</t>
  </si>
  <si>
    <t>LUPACA CAYO, LOURDES</t>
  </si>
  <si>
    <t>065094</t>
  </si>
  <si>
    <t>P1E-749</t>
  </si>
  <si>
    <t>CHALLCO ARAOZ, ANA</t>
  </si>
  <si>
    <t>CENTTY BANDA, SILVIA</t>
  </si>
  <si>
    <t>AMPUERO HUAMANI, DIEGO</t>
  </si>
  <si>
    <t>074251</t>
  </si>
  <si>
    <t>V3O-740</t>
  </si>
  <si>
    <t>MAMANI COSI, JUANA PASTORA</t>
  </si>
  <si>
    <t>059885</t>
  </si>
  <si>
    <t>B3R-771</t>
  </si>
  <si>
    <t>HUANCA CONDORI, ROSA VALERIANA</t>
  </si>
  <si>
    <t>070052</t>
  </si>
  <si>
    <t>EH-2594</t>
  </si>
  <si>
    <t>PARKET TICONA, GUIDO RICARDO</t>
  </si>
  <si>
    <t>BENAVIDES RAMOS, VICENTE</t>
  </si>
  <si>
    <t>060490</t>
  </si>
  <si>
    <t>RH-4666</t>
  </si>
  <si>
    <t>LAGOS CHAHUA, LENIN</t>
  </si>
  <si>
    <t>074120</t>
  </si>
  <si>
    <t>V1C-794</t>
  </si>
  <si>
    <t>CALDERON CHUQUIMAMANI, RONALD</t>
  </si>
  <si>
    <t>061108</t>
  </si>
  <si>
    <t>V2F-674</t>
  </si>
  <si>
    <t>AROCUTIPA QUISPE, RAYMUNDA</t>
  </si>
  <si>
    <t>YUCRA AROCUTIPA, JHON</t>
  </si>
  <si>
    <t>HUARACHI YUCRA, JEAN POOL FABIAN</t>
  </si>
  <si>
    <t>YUCRA ALAVE, MARTIN</t>
  </si>
  <si>
    <t>067420</t>
  </si>
  <si>
    <t>V3U-275</t>
  </si>
  <si>
    <t>ESPINOZA ALFARO, MARTHA</t>
  </si>
  <si>
    <t>069347</t>
  </si>
  <si>
    <t>V1P-785</t>
  </si>
  <si>
    <t>MARTINEZ SERNE, GERARD</t>
  </si>
  <si>
    <t>058621</t>
  </si>
  <si>
    <t>EH-6595</t>
  </si>
  <si>
    <t>BARRIENTOS PALO, CESAR</t>
  </si>
  <si>
    <t>059866</t>
  </si>
  <si>
    <t>EH-5969</t>
  </si>
  <si>
    <t>CALAPUJA PIMENTEL, JORDAN</t>
  </si>
  <si>
    <t>062444</t>
  </si>
  <si>
    <t>FH-2737</t>
  </si>
  <si>
    <t>PEREZ CHAMORRO, JULIA</t>
  </si>
  <si>
    <t>061734</t>
  </si>
  <si>
    <t>FH-1334</t>
  </si>
  <si>
    <t>SALAS SANCHEZ, TOMAS</t>
  </si>
  <si>
    <t>067548</t>
  </si>
  <si>
    <t>T1O-736</t>
  </si>
  <si>
    <t>AMESQUITA ANCO, MIRIAN</t>
  </si>
  <si>
    <t>062947</t>
  </si>
  <si>
    <t>V3M-522</t>
  </si>
  <si>
    <t>APAZA GALINDO, ANDRES</t>
  </si>
  <si>
    <t>056889</t>
  </si>
  <si>
    <t>Y1A-268</t>
  </si>
  <si>
    <t>CAYO CHAMBI, ARIANA</t>
  </si>
  <si>
    <t>069286</t>
  </si>
  <si>
    <t>V2Y-151</t>
  </si>
  <si>
    <t>TERRAZ LLERENA, JIMMY</t>
  </si>
  <si>
    <t>073491</t>
  </si>
  <si>
    <t>EH-5402</t>
  </si>
  <si>
    <t>NOVOA ANDIA, HECTOR</t>
  </si>
  <si>
    <t>070256</t>
  </si>
  <si>
    <t>RH-4184</t>
  </si>
  <si>
    <t>SONCCO ZARATE, CLAUDIA</t>
  </si>
  <si>
    <t>072909</t>
  </si>
  <si>
    <t>EH-4784</t>
  </si>
  <si>
    <t>ANTEZARA CAMINO, LESLY</t>
  </si>
  <si>
    <t>068094</t>
  </si>
  <si>
    <t>EH-6250</t>
  </si>
  <si>
    <t>PACORI PACORI, STEFANIA</t>
  </si>
  <si>
    <t>072763</t>
  </si>
  <si>
    <t>V1B-526</t>
  </si>
  <si>
    <t>VALDIVIA OVIEDO, TERESITA DE JESUS</t>
  </si>
  <si>
    <t>073335</t>
  </si>
  <si>
    <t>V1L-596</t>
  </si>
  <si>
    <t>MAMANI LIVIA, RICARDO</t>
  </si>
  <si>
    <t>060947</t>
  </si>
  <si>
    <t>RH-6424</t>
  </si>
  <si>
    <t>TIPO CUTIPA, VERONICA</t>
  </si>
  <si>
    <t>ROJAS TACURI, MERCEDES</t>
  </si>
  <si>
    <t>SABINA SANCCA, BARBARA</t>
  </si>
  <si>
    <t>ROJAS TACURI, SILVIA</t>
  </si>
  <si>
    <t>069302</t>
  </si>
  <si>
    <t>DH-8008</t>
  </si>
  <si>
    <t>QUISPE CHACALLA, FROYDE NICANOR</t>
  </si>
  <si>
    <t>067901</t>
  </si>
  <si>
    <t>FH-1784</t>
  </si>
  <si>
    <t>QUISPE PRADO, NORMA</t>
  </si>
  <si>
    <t>071130</t>
  </si>
  <si>
    <t>FH-1895</t>
  </si>
  <si>
    <t>MAMANI HUARSAYA, VICTORIA INES</t>
  </si>
  <si>
    <t>055168</t>
  </si>
  <si>
    <t>FH-3101</t>
  </si>
  <si>
    <t>AYAMAMANI MUÑOZ, JHON</t>
  </si>
  <si>
    <t>066197</t>
  </si>
  <si>
    <t>FH-7206</t>
  </si>
  <si>
    <t>PINTO CONDORI, VERONICA</t>
  </si>
  <si>
    <t>070750</t>
  </si>
  <si>
    <t>EH-2035</t>
  </si>
  <si>
    <t>JACOBO QUISPE, EULOGIO</t>
  </si>
  <si>
    <t>060597</t>
  </si>
  <si>
    <t>GH-5121</t>
  </si>
  <si>
    <t>CHAVEZ CORNEJO, JORGE</t>
  </si>
  <si>
    <t>063622</t>
  </si>
  <si>
    <t>EH-3765</t>
  </si>
  <si>
    <t>CCORA MAMANI, EUSEBIO</t>
  </si>
  <si>
    <t>071227</t>
  </si>
  <si>
    <t>FH-3096</t>
  </si>
  <si>
    <t>CASTRO MAMANI, RAUL GABRIEL</t>
  </si>
  <si>
    <t>069689</t>
  </si>
  <si>
    <t>EH-8809</t>
  </si>
  <si>
    <t>OCHOA MAMANI, ANALIZ</t>
  </si>
  <si>
    <t>067902</t>
  </si>
  <si>
    <t>V3V-378</t>
  </si>
  <si>
    <t>SAVEDRA LAURA, ROGER</t>
  </si>
  <si>
    <t>069460</t>
  </si>
  <si>
    <t>V3Y-045</t>
  </si>
  <si>
    <t>BARBACHAN ALFARO, PERCY</t>
  </si>
  <si>
    <t>065081</t>
  </si>
  <si>
    <t>V3R-552</t>
  </si>
  <si>
    <t>QUISPE QUELCA, FORTUNATO</t>
  </si>
  <si>
    <t>074586</t>
  </si>
  <si>
    <t>V1U-148</t>
  </si>
  <si>
    <t>BETANCUR SONCCO, JULIAN</t>
  </si>
  <si>
    <t>066775</t>
  </si>
  <si>
    <t>A4Z-783</t>
  </si>
  <si>
    <t>HUAMANGA DE CHOQUE, TORIBIA</t>
  </si>
  <si>
    <t>062884</t>
  </si>
  <si>
    <t>V2K-418</t>
  </si>
  <si>
    <t>ROMERO QUECARA, KATHERINE</t>
  </si>
  <si>
    <t>MENDOZA CACHAY, ARTURO</t>
  </si>
  <si>
    <t>068290</t>
  </si>
  <si>
    <t>V3O-726</t>
  </si>
  <si>
    <t>LA TORRE HERRERA, JESICA</t>
  </si>
  <si>
    <t>068401</t>
  </si>
  <si>
    <t>V1F-768</t>
  </si>
  <si>
    <t>MONRROY LUNA, FLORA</t>
  </si>
  <si>
    <t>069528</t>
  </si>
  <si>
    <t>V1U-017</t>
  </si>
  <si>
    <t>MIRANDA CCALLASACA, MARCO ANTONIO</t>
  </si>
  <si>
    <t>062208</t>
  </si>
  <si>
    <t>UH-3659</t>
  </si>
  <si>
    <t>ANDIA OCHOCHOQUE, BRUSEIDA</t>
  </si>
  <si>
    <t>BEJARANO CARPIO, FAYOL</t>
  </si>
  <si>
    <t>062926</t>
  </si>
  <si>
    <t>V3L-477</t>
  </si>
  <si>
    <t>ALVAREZ ACOSTA, HENRY PABLO</t>
  </si>
  <si>
    <t>071448</t>
  </si>
  <si>
    <t>C6U-524</t>
  </si>
  <si>
    <t>ACEVEDO RODRIGUEZ, ANTHONY</t>
  </si>
  <si>
    <t>061787</t>
  </si>
  <si>
    <t>RO-6232</t>
  </si>
  <si>
    <t>CASAZOLA LAROTA, KAREN</t>
  </si>
  <si>
    <t>075230</t>
  </si>
  <si>
    <t>V3H-092</t>
  </si>
  <si>
    <t>CONDORI CONDORI, LIDIA</t>
  </si>
  <si>
    <t>074163</t>
  </si>
  <si>
    <t>C4-9222</t>
  </si>
  <si>
    <t>CONDORI ALZAMORA, JHAMIR ENRIQUE</t>
  </si>
  <si>
    <t>AREQUIPA-ATICO</t>
  </si>
  <si>
    <t>063808</t>
  </si>
  <si>
    <t>V2R-171</t>
  </si>
  <si>
    <t>069987</t>
  </si>
  <si>
    <t>V1U-247</t>
  </si>
  <si>
    <t>VILLAFUERTE DALGUERRE, MARCO ANTONIO</t>
  </si>
  <si>
    <t>071450</t>
  </si>
  <si>
    <t>V2I-682</t>
  </si>
  <si>
    <t>ASTULLE TICONA, GERMAN</t>
  </si>
  <si>
    <t>TITO CALDERON, BRYAN PAUL</t>
  </si>
  <si>
    <t>063952</t>
  </si>
  <si>
    <t>A2V-170</t>
  </si>
  <si>
    <t>ARAPA ALLARQUISPE, OMAR</t>
  </si>
  <si>
    <t>SISA HUAJLLARI, ALEX JORDAN</t>
  </si>
  <si>
    <t>074760</t>
  </si>
  <si>
    <t>V3Y-787</t>
  </si>
  <si>
    <t>MARQUEZ BALDARRAGO, ROGELIO</t>
  </si>
  <si>
    <t>069292</t>
  </si>
  <si>
    <t>V2G-164</t>
  </si>
  <si>
    <t>SANTOS SALAS, FANY SHIRLEY</t>
  </si>
  <si>
    <t>062775</t>
  </si>
  <si>
    <t>V3M-277</t>
  </si>
  <si>
    <t>HUARACALLO HUARSAYA DE PARQUE, ELEUTERIA</t>
  </si>
  <si>
    <t>068658</t>
  </si>
  <si>
    <t>COK-735</t>
  </si>
  <si>
    <t>LUNA RANILLA, LUISA</t>
  </si>
  <si>
    <t>CHUCTAYA LUNA, LADY</t>
  </si>
  <si>
    <t>CHUCTAYA LUNA, BRENDA</t>
  </si>
  <si>
    <t>071384</t>
  </si>
  <si>
    <t>V4A-197</t>
  </si>
  <si>
    <t>VASQUEZ ANCLES, MACARENA PIEDAD</t>
  </si>
  <si>
    <t>HUARANCCA LEON, DARYIN LUIS</t>
  </si>
  <si>
    <t>061127</t>
  </si>
  <si>
    <t>FH-2512</t>
  </si>
  <si>
    <t>HUAMANI ALICASTRO, ADAN</t>
  </si>
  <si>
    <t>064798</t>
  </si>
  <si>
    <t>GH-2382</t>
  </si>
  <si>
    <t>MEJIA CONCHA, CARMEN JULIA</t>
  </si>
  <si>
    <t>CHAVEZ SALAS, ANGELO ROMAN</t>
  </si>
  <si>
    <t>MEJIA CONCHA, LEONOR VICTORIA</t>
  </si>
  <si>
    <t>071019</t>
  </si>
  <si>
    <t>V1H-355</t>
  </si>
  <si>
    <t>ACOSTA LINARES, NELSON</t>
  </si>
  <si>
    <t>SARMIENTO BEJARANO, SILVIA</t>
  </si>
  <si>
    <t>068895</t>
  </si>
  <si>
    <t>V2U-298</t>
  </si>
  <si>
    <t>ZEA HUAMAN, TEOFILO</t>
  </si>
  <si>
    <t>074930</t>
  </si>
  <si>
    <t>EH-6738</t>
  </si>
  <si>
    <t>BENAVIDES MAMANI, MANUEL JORGE</t>
  </si>
  <si>
    <t>BELLIDO NAUPA, PLACIDO</t>
  </si>
  <si>
    <t>075091</t>
  </si>
  <si>
    <t>FH-4751</t>
  </si>
  <si>
    <t>GUTIERREZ ROSAS, ADOLFO</t>
  </si>
  <si>
    <t>073798</t>
  </si>
  <si>
    <t>FH-5460</t>
  </si>
  <si>
    <t>BURGOS QUISPE, CARMEN ANDREA</t>
  </si>
  <si>
    <t>PPACCO CCOSCO, MARIELA</t>
  </si>
  <si>
    <t>067343</t>
  </si>
  <si>
    <t>V3A-630</t>
  </si>
  <si>
    <t>FLORES VIUDA DE ROMERO, GREGORIA</t>
  </si>
  <si>
    <t>074940</t>
  </si>
  <si>
    <t>UH-2905</t>
  </si>
  <si>
    <t>GONZALES DE GONZA, ANGELITA</t>
  </si>
  <si>
    <t>TICONA BARRIONUEVO, FIORELA ISABEL</t>
  </si>
  <si>
    <t>ZARAVIA PERALTA, PAMELA</t>
  </si>
  <si>
    <t>MAYNITA MAYHUIRI, RAFAEL</t>
  </si>
  <si>
    <t>PARQUE CUASACA, HUGO</t>
  </si>
  <si>
    <t>CASELLA MORALES, CRISTIAN</t>
  </si>
  <si>
    <t>MALAGA TICONA, MARIA</t>
  </si>
  <si>
    <t>072718</t>
  </si>
  <si>
    <t>V3E-277</t>
  </si>
  <si>
    <t>VENTURA RAMOS, JORDAN</t>
  </si>
  <si>
    <t>066150</t>
  </si>
  <si>
    <t>V1H-018</t>
  </si>
  <si>
    <t>CHECCA CRUZ, HELBER</t>
  </si>
  <si>
    <t>064337</t>
  </si>
  <si>
    <t>V3O-168</t>
  </si>
  <si>
    <t>NUÑEZ SANTOS, MARILU MICAELA</t>
  </si>
  <si>
    <t>061110</t>
  </si>
  <si>
    <t>A3U-216</t>
  </si>
  <si>
    <t>MOGROVEJO MONJE, MARIA DEL CIELO</t>
  </si>
  <si>
    <t>061062</t>
  </si>
  <si>
    <t>V2E-604</t>
  </si>
  <si>
    <t>CALLE MOJO, EDI ANDRES</t>
  </si>
  <si>
    <t>070333</t>
  </si>
  <si>
    <t>EH-8466</t>
  </si>
  <si>
    <t>QUISPE PAYEHUANCA, ANGELICA LUZ</t>
  </si>
  <si>
    <t>074200</t>
  </si>
  <si>
    <t>V1U-387</t>
  </si>
  <si>
    <t>PUMA COTACALLAPA, YUDY ROXANA</t>
  </si>
  <si>
    <t>VILCA KANA, MIGUEL TITO</t>
  </si>
  <si>
    <t>065606</t>
  </si>
  <si>
    <t>FH-3095</t>
  </si>
  <si>
    <t>QUISPE BARRIOS, JEFRI JHORDAN</t>
  </si>
  <si>
    <t>069088</t>
  </si>
  <si>
    <t>V1U-359</t>
  </si>
  <si>
    <t>QUISPE CCAKA, LUIS ALBERTO</t>
  </si>
  <si>
    <t>QUISPE KACCA, SALOMON</t>
  </si>
  <si>
    <t>ROSELLO CHAMBI, SONIA</t>
  </si>
  <si>
    <t>QUISPE ROSELLO, NAYELI BRENDA</t>
  </si>
  <si>
    <t>070424</t>
  </si>
  <si>
    <t>V3A-531</t>
  </si>
  <si>
    <t>FLORES HERRERA, MARIA ISABEL</t>
  </si>
  <si>
    <t>068407</t>
  </si>
  <si>
    <t>AGN-747</t>
  </si>
  <si>
    <t>HUARCASI CASTRO, WASHINGTON</t>
  </si>
  <si>
    <t>075118</t>
  </si>
  <si>
    <t>V2J-657</t>
  </si>
  <si>
    <t>TORRES GARCIA, JORGE</t>
  </si>
  <si>
    <t>064766</t>
  </si>
  <si>
    <t>V1Y-626</t>
  </si>
  <si>
    <t>MENDOZA NUÑEZ WALTER</t>
  </si>
  <si>
    <t>073463</t>
  </si>
  <si>
    <t>Z3Z-738</t>
  </si>
  <si>
    <t>OLLACHICA GARCIA, CECILIA</t>
  </si>
  <si>
    <t>073706</t>
  </si>
  <si>
    <t>V4F-374</t>
  </si>
  <si>
    <t>APARICIO DE LA RIVA, ALINA</t>
  </si>
  <si>
    <t>ALI PARI, PEDRO</t>
  </si>
  <si>
    <t>067539</t>
  </si>
  <si>
    <t>V2V-675</t>
  </si>
  <si>
    <t>ZURITA AGRAMONTE, KIARA</t>
  </si>
  <si>
    <t>074360</t>
  </si>
  <si>
    <t>EH-6460</t>
  </si>
  <si>
    <t>ANDALUZ CCALLOHUANCA, YALMAR</t>
  </si>
  <si>
    <t>072336</t>
  </si>
  <si>
    <t>V3I-566</t>
  </si>
  <si>
    <t>ZUÑIGA ITURRIAGA, LILI</t>
  </si>
  <si>
    <t>067970</t>
  </si>
  <si>
    <t>V2R-407</t>
  </si>
  <si>
    <t>VAZQUEZ CHAMBI, YESENIA</t>
  </si>
  <si>
    <t>062686</t>
  </si>
  <si>
    <t>V1N-454</t>
  </si>
  <si>
    <t>AQUINO VARGAS, BLADIMIR</t>
  </si>
  <si>
    <t>068279</t>
  </si>
  <si>
    <t>V2A-718</t>
  </si>
  <si>
    <t>BALTA BONIFACIO, HERMENEGILDO</t>
  </si>
  <si>
    <t>060580</t>
  </si>
  <si>
    <t>RH-6617</t>
  </si>
  <si>
    <t>MORALES CJURO, JOSE HUBER</t>
  </si>
  <si>
    <t>073775</t>
  </si>
  <si>
    <t>EH-8431</t>
  </si>
  <si>
    <t>ROMERO UBIDIA, ANTUANE SILVIA</t>
  </si>
  <si>
    <t>064541</t>
  </si>
  <si>
    <t>AL-3470</t>
  </si>
  <si>
    <t>CCALLO MAMANI, JHONNY</t>
  </si>
  <si>
    <t>PINEDA ZEBALLOS, EVA</t>
  </si>
  <si>
    <t>064273</t>
  </si>
  <si>
    <t>B5G-252</t>
  </si>
  <si>
    <t>TTITO YARE, JAIRO</t>
  </si>
  <si>
    <t>070587</t>
  </si>
  <si>
    <t>V1M-614</t>
  </si>
  <si>
    <t>BECERRA ALVAREZ, MICHAEL</t>
  </si>
  <si>
    <t>PACHARI AMANQUI, ESTEBAN</t>
  </si>
  <si>
    <t>070206</t>
  </si>
  <si>
    <t>V2P-577</t>
  </si>
  <si>
    <t>CONDORI RODRIGUEZ, GUSTAVO ROBERTO</t>
  </si>
  <si>
    <t>077506</t>
  </si>
  <si>
    <t>V3H-121</t>
  </si>
  <si>
    <t>VIZCARRA MOLLO, ROSA AURELIA</t>
  </si>
  <si>
    <t>068156</t>
  </si>
  <si>
    <t>EH-4677</t>
  </si>
  <si>
    <t>COLAN ANDES, ORLANDO</t>
  </si>
  <si>
    <t>067098</t>
  </si>
  <si>
    <t>V3V-491</t>
  </si>
  <si>
    <t>VILLALBA CCAPA, MANUELA</t>
  </si>
  <si>
    <t>076709</t>
  </si>
  <si>
    <t>M8-5975</t>
  </si>
  <si>
    <t>NIÑONCA GUTIERREZ, JAVIER VICTOR</t>
  </si>
  <si>
    <t>064947</t>
  </si>
  <si>
    <t>V3Q-059</t>
  </si>
  <si>
    <t>BOURONCLE CHALCO, NICOLE ZOE</t>
  </si>
  <si>
    <t>CHALCO HERRERA, SILVANA GUADALUPE</t>
  </si>
  <si>
    <t>069942</t>
  </si>
  <si>
    <t>V1B-754</t>
  </si>
  <si>
    <t>LOAYZA ARQUELLES, HERNAN</t>
  </si>
  <si>
    <t>076174</t>
  </si>
  <si>
    <t>V2F-228</t>
  </si>
  <si>
    <t>PERALTA GALINDO, MARIA DE LOS ANGELES</t>
  </si>
  <si>
    <t>066092</t>
  </si>
  <si>
    <t>V1O-688</t>
  </si>
  <si>
    <t>SILVA ZEBALLOS, BETTY</t>
  </si>
  <si>
    <t>062148</t>
  </si>
  <si>
    <t>TH-2774</t>
  </si>
  <si>
    <t>FUENTES DELGADO, ANGEL</t>
  </si>
  <si>
    <t>068876</t>
  </si>
  <si>
    <t>A0B-585</t>
  </si>
  <si>
    <t>BORDA SAYCO, MATEO SILVIO</t>
  </si>
  <si>
    <t>071864</t>
  </si>
  <si>
    <t>V4C-747</t>
  </si>
  <si>
    <t>QUISPE HUMIÑA, ANDREA ALEJA</t>
  </si>
  <si>
    <t>073601</t>
  </si>
  <si>
    <t>C8K-646</t>
  </si>
  <si>
    <t>ARCOS BARRA, JOSE FERNANDO</t>
  </si>
  <si>
    <t>075027</t>
  </si>
  <si>
    <t>B3N-547</t>
  </si>
  <si>
    <t>HUACHO TRISAN, JOSE</t>
  </si>
  <si>
    <t>073284</t>
  </si>
  <si>
    <t>V3F-119</t>
  </si>
  <si>
    <t>ASCUÑA SURCO, JUAN PABLO</t>
  </si>
  <si>
    <t>076973</t>
  </si>
  <si>
    <t>RAMIREZ GAMARRA, EUSTAQUIO</t>
  </si>
  <si>
    <t>071683</t>
  </si>
  <si>
    <t>DH-4920</t>
  </si>
  <si>
    <t>QUISPE CHAHUARA, JOSELIN</t>
  </si>
  <si>
    <t>067916</t>
  </si>
  <si>
    <t>C9O-353</t>
  </si>
  <si>
    <t>MACHACA ARAPA, VICTORIA</t>
  </si>
  <si>
    <t>075533</t>
  </si>
  <si>
    <t>V1U-568</t>
  </si>
  <si>
    <t>LEON TORRES, REYNALDO</t>
  </si>
  <si>
    <t>067627</t>
  </si>
  <si>
    <t>V2R-426</t>
  </si>
  <si>
    <t>LEON VILCA, ELIZABETH PILAR</t>
  </si>
  <si>
    <t>061430</t>
  </si>
  <si>
    <t>V2B-616</t>
  </si>
  <si>
    <t>QUISPE OLLACHICA, YERMY</t>
  </si>
  <si>
    <t>072707</t>
  </si>
  <si>
    <t>V3B-103</t>
  </si>
  <si>
    <t>PILCO MAMANI, RICHAR EDMUNDO</t>
  </si>
  <si>
    <t>AVILA DE LA CRUZ, JORGE MILCAR</t>
  </si>
  <si>
    <t>071869</t>
  </si>
  <si>
    <t>A0H-706</t>
  </si>
  <si>
    <t>SANTILLANA VALDEZ, MARIA ISABEL</t>
  </si>
  <si>
    <t>CAMA GIL, JUANA</t>
  </si>
  <si>
    <t>066687</t>
  </si>
  <si>
    <t>FH-4223</t>
  </si>
  <si>
    <t>JOVE FLORES, JOEL ANTHONY</t>
  </si>
  <si>
    <t>068015</t>
  </si>
  <si>
    <t>M1M-506</t>
  </si>
  <si>
    <t>LLAMAS GARATE, EDDY SANTIAGO</t>
  </si>
  <si>
    <t>GARATE CORNEJO, MARIA ESTHER</t>
  </si>
  <si>
    <t>074839</t>
  </si>
  <si>
    <t>V1W-641</t>
  </si>
  <si>
    <t>ZEGARRA PALOMINO, JUANA</t>
  </si>
  <si>
    <t>BERLANGA RIVAS, ALBERTO JULIO</t>
  </si>
  <si>
    <t>071503</t>
  </si>
  <si>
    <t>V1X-249</t>
  </si>
  <si>
    <t>MALDONADO BERRIOS, RONALD FELIPE</t>
  </si>
  <si>
    <t>064598</t>
  </si>
  <si>
    <t>RH-5370</t>
  </si>
  <si>
    <t>GAMARRA CACERES, OSCAR</t>
  </si>
  <si>
    <t>066166</t>
  </si>
  <si>
    <t>W1T-761</t>
  </si>
  <si>
    <t>CJURO PEÑA, ANGELICA</t>
  </si>
  <si>
    <t>064243</t>
  </si>
  <si>
    <t>AE-9571</t>
  </si>
  <si>
    <t>RAMOS ROMERO, RICHARD</t>
  </si>
  <si>
    <t>MOLLISACA SUACA, ELIANA</t>
  </si>
  <si>
    <t>071017</t>
  </si>
  <si>
    <t>EH-6794</t>
  </si>
  <si>
    <t>HERRERA RAMIREZ, MARIA ELENA</t>
  </si>
  <si>
    <t>070069</t>
  </si>
  <si>
    <t>V1U-406</t>
  </si>
  <si>
    <t>NIÑO DE GUZMAN CALLA, FELICITAS</t>
  </si>
  <si>
    <t>066304</t>
  </si>
  <si>
    <t>FH-4002</t>
  </si>
  <si>
    <t>CAMPOS FLORES, WILSON</t>
  </si>
  <si>
    <t>YAURI ZAMURIO, JUNIOR</t>
  </si>
  <si>
    <t>059788</t>
  </si>
  <si>
    <t>FH-3683</t>
  </si>
  <si>
    <t>VALDIVIA BOLIVAR, SUSANA ESTHER</t>
  </si>
  <si>
    <t>BEJARANO ASCUÑA, MAURICIO</t>
  </si>
  <si>
    <t>072025</t>
  </si>
  <si>
    <t>GH-7715</t>
  </si>
  <si>
    <t>CHURA TACO, JESSICA</t>
  </si>
  <si>
    <t>069925</t>
  </si>
  <si>
    <t>V1O-621</t>
  </si>
  <si>
    <t>PONGO ESPINOZA, MARIA</t>
  </si>
  <si>
    <t>UH-3329</t>
  </si>
  <si>
    <t>SOLORZANO APAZA, JENNIFER ALISON</t>
  </si>
  <si>
    <t>074079</t>
  </si>
  <si>
    <t>DH-6304</t>
  </si>
  <si>
    <t>TORRES MAMANI, WILFREDO</t>
  </si>
  <si>
    <t>069539</t>
  </si>
  <si>
    <t>RIVERA ARENA, WILBER</t>
  </si>
  <si>
    <t>062398</t>
  </si>
  <si>
    <t>CALLOZO RODRIGUEZ, CRISTINA</t>
  </si>
  <si>
    <t>071312</t>
  </si>
  <si>
    <t>DH-9839</t>
  </si>
  <si>
    <t>ALPACA OLIVARES, LIZBET</t>
  </si>
  <si>
    <t>PUMA CORDOVA , GIANFRANCO</t>
  </si>
  <si>
    <t>VENTURA MAMANI, GUSTAVO</t>
  </si>
  <si>
    <t>YAULI FLORES, JESUS</t>
  </si>
  <si>
    <t>YAULI FLORES, MICHAEL</t>
  </si>
  <si>
    <t>059194</t>
  </si>
  <si>
    <t>V1V-074</t>
  </si>
  <si>
    <t>CHAVEZ HUAYHUACAPA, RICHARD</t>
  </si>
  <si>
    <t>074426</t>
  </si>
  <si>
    <t>Z2X-074</t>
  </si>
  <si>
    <t>CONDO TINTAYA, NICOLAS</t>
  </si>
  <si>
    <t>069133</t>
  </si>
  <si>
    <t>EH-8869</t>
  </si>
  <si>
    <t>MAQUITA REVILLA, DINA</t>
  </si>
  <si>
    <t>063695</t>
  </si>
  <si>
    <t>V2M-609</t>
  </si>
  <si>
    <t>QUISPE GOMEZ, RELLY</t>
  </si>
  <si>
    <t>073010</t>
  </si>
  <si>
    <t>V1T-696</t>
  </si>
  <si>
    <t>GUTIERREZ HANCO, JEFER</t>
  </si>
  <si>
    <t>072877</t>
  </si>
  <si>
    <t>V1W-379</t>
  </si>
  <si>
    <t>CHACOLLA MERMA, LUCI PATRICIA</t>
  </si>
  <si>
    <t>074020</t>
  </si>
  <si>
    <t>V4F-592</t>
  </si>
  <si>
    <t>CARPIO ZEBALLOS, ANGELICA</t>
  </si>
  <si>
    <t>072484</t>
  </si>
  <si>
    <t>AK-8424</t>
  </si>
  <si>
    <t>QUISPE ZAPANA, VICTOR SIMON</t>
  </si>
  <si>
    <t>HERENCIA PUMA, CARLOS</t>
  </si>
  <si>
    <t>PUMA QUISPE, ALICIA</t>
  </si>
  <si>
    <t>074416</t>
  </si>
  <si>
    <t>V4E-255</t>
  </si>
  <si>
    <t>CASTRO SOLIS, FABIANA CRISSIA</t>
  </si>
  <si>
    <t>SOLIS VERASTEIN, ROSA</t>
  </si>
  <si>
    <t>063551</t>
  </si>
  <si>
    <t>AF-9841</t>
  </si>
  <si>
    <t>LEVANO LEVANO, HELLEN</t>
  </si>
  <si>
    <t>LUCIANO BEGAZO, TEODORO VICTOR</t>
  </si>
  <si>
    <t>067789</t>
  </si>
  <si>
    <t>W2R-729</t>
  </si>
  <si>
    <t>RODRIGUEZ SALAS, FIORELA</t>
  </si>
  <si>
    <t>062207</t>
  </si>
  <si>
    <t>V1W-717</t>
  </si>
  <si>
    <t>GALLEGOS TEVEZ, ANA</t>
  </si>
  <si>
    <t>063209</t>
  </si>
  <si>
    <t>LO-8852</t>
  </si>
  <si>
    <t>MESICANO QUISPE, SATURNINO</t>
  </si>
  <si>
    <t>074857</t>
  </si>
  <si>
    <t>EH-7550</t>
  </si>
  <si>
    <t>CORRALES HUAMANI, NANCY</t>
  </si>
  <si>
    <t>066369</t>
  </si>
  <si>
    <t>V2D-387</t>
  </si>
  <si>
    <t>FLORES QUISPE, MARIO</t>
  </si>
  <si>
    <t>00331</t>
  </si>
  <si>
    <t>DH-9243</t>
  </si>
  <si>
    <t>VARGAS CARAZAS, ENRRIQUE</t>
  </si>
  <si>
    <t>000424</t>
  </si>
  <si>
    <t>FH-1954</t>
  </si>
  <si>
    <t>SARMIENTO GARATE, PEDRO</t>
  </si>
  <si>
    <t>00652</t>
  </si>
  <si>
    <t>EH-6756</t>
  </si>
  <si>
    <t>DELGADO DELGADO, LUISA</t>
  </si>
  <si>
    <t>00849</t>
  </si>
  <si>
    <t>EH-9382</t>
  </si>
  <si>
    <t>MENDOZA MOLLO, NADIA</t>
  </si>
  <si>
    <t>001550</t>
  </si>
  <si>
    <t>FH-4367</t>
  </si>
  <si>
    <t>MOSCOSO ALVAREZ, HECTOR</t>
  </si>
  <si>
    <t>001068</t>
  </si>
  <si>
    <t>EH-2566</t>
  </si>
  <si>
    <t>TURPO HUAMANI, ADOLFO</t>
  </si>
  <si>
    <t>SEMINARIO GARATE, PEDRO</t>
  </si>
  <si>
    <t>001301</t>
  </si>
  <si>
    <t>EH-1669</t>
  </si>
  <si>
    <t>HERRERA ALCATARA, MARIA</t>
  </si>
  <si>
    <t>189-B</t>
  </si>
  <si>
    <t>EH-1181</t>
  </si>
  <si>
    <t>HUAMANI TUTUCA, ROSALIO</t>
  </si>
  <si>
    <t>071258</t>
  </si>
  <si>
    <t>EH-9852</t>
  </si>
  <si>
    <t>MENENDEZ MEDINA, EVA MARITZA</t>
  </si>
  <si>
    <t>072759</t>
  </si>
  <si>
    <t>V2Z-263</t>
  </si>
  <si>
    <t>QUISPE CONDORI, NOLBERTA</t>
  </si>
  <si>
    <t>064215</t>
  </si>
  <si>
    <t>V1J-346</t>
  </si>
  <si>
    <t>CCOA TICONA, NOEMI CARMEN</t>
  </si>
  <si>
    <t>CCOA TICONA, ELIZABETH JUSTINA</t>
  </si>
  <si>
    <t>064359</t>
  </si>
  <si>
    <t>W1G-744</t>
  </si>
  <si>
    <t>ZEGARRA CABANA, HECTOR</t>
  </si>
  <si>
    <t xml:space="preserve">ZEGARRA SACACA, RICHARD </t>
  </si>
  <si>
    <t>066365</t>
  </si>
  <si>
    <t>V1B-702</t>
  </si>
  <si>
    <t>MAQUERA CUAYLA, ELISABET</t>
  </si>
  <si>
    <t>068045</t>
  </si>
  <si>
    <t>V3U-181</t>
  </si>
  <si>
    <t>MESTAS TACO, GIANMARCOS</t>
  </si>
  <si>
    <t>065917</t>
  </si>
  <si>
    <t>DH-9136</t>
  </si>
  <si>
    <t>COAGUILA VILCA  VICTORIANO</t>
  </si>
  <si>
    <t>PERLACIO LUNA, PILAR</t>
  </si>
  <si>
    <t>063656</t>
  </si>
  <si>
    <t>EH-1062</t>
  </si>
  <si>
    <t>LUNA BERNAL, AMPARO</t>
  </si>
  <si>
    <t>LLANOS CUNO, CARMEN</t>
  </si>
  <si>
    <t>076738</t>
  </si>
  <si>
    <t>V2F-311</t>
  </si>
  <si>
    <t>HUANCA MAMANI, FRANCISCO</t>
  </si>
  <si>
    <t>073022</t>
  </si>
  <si>
    <t>B8G-639</t>
  </si>
  <si>
    <t>CAYO GONZALES, PATRICIA</t>
  </si>
  <si>
    <t>DIAZ JIMENEZ, NELLY PATRICIA</t>
  </si>
  <si>
    <t>068616</t>
  </si>
  <si>
    <t>EH-1781</t>
  </si>
  <si>
    <t>MARQUEZ QUISPE, BRANDO PAUL</t>
  </si>
  <si>
    <t>077415</t>
  </si>
  <si>
    <t>B8N-748</t>
  </si>
  <si>
    <t>DIAZ CONDORI, ALICIA</t>
  </si>
  <si>
    <t>070844</t>
  </si>
  <si>
    <t>AIG-728</t>
  </si>
  <si>
    <t>FARFAN HUAYTA , ANGEL ALONSO</t>
  </si>
  <si>
    <t>058053</t>
  </si>
  <si>
    <t>V1P-701</t>
  </si>
  <si>
    <t>CHAVEZ FARFAN, LIZETTE</t>
  </si>
  <si>
    <t>073426</t>
  </si>
  <si>
    <t>B3M-467</t>
  </si>
  <si>
    <t>SARMIENTO CHIPANA, VICTOR</t>
  </si>
  <si>
    <t>CAJIA OCSA, MARIA FLORENCIA</t>
  </si>
  <si>
    <t>070611</t>
  </si>
  <si>
    <t>V2V-083</t>
  </si>
  <si>
    <t>VALCARCEL CHAVEZ, CARMEN</t>
  </si>
  <si>
    <t>065013</t>
  </si>
  <si>
    <t>B0J-704</t>
  </si>
  <si>
    <t>CONDOR CHOQUEHUANCA, CELESTINA</t>
  </si>
  <si>
    <t>RIVERA SALAS, STEFANI</t>
  </si>
  <si>
    <t>PEREZ LEON, FLORENTINO</t>
  </si>
  <si>
    <t>CCAMA MERMA, GIORGIO</t>
  </si>
  <si>
    <t>QUISPE CASTRO, LEONARDO</t>
  </si>
  <si>
    <t>075566</t>
  </si>
  <si>
    <t>V3F-282</t>
  </si>
  <si>
    <t xml:space="preserve">SAMATA MORALES,  SIXTO </t>
  </si>
  <si>
    <t>071641</t>
  </si>
  <si>
    <t>V3E-705</t>
  </si>
  <si>
    <t>URDAY VELARDE, MARGARET</t>
  </si>
  <si>
    <t>GARCES HUAMANI, FILIBERTO ANTONIO</t>
  </si>
  <si>
    <t>CCOA VENTURA, JAVIER</t>
  </si>
  <si>
    <t>CAYRO HUAYTA, GERALDINE CIELO</t>
  </si>
  <si>
    <t>KUENTA DE HUAYTA, JOSEFA</t>
  </si>
  <si>
    <t>NUÑEZ DEL PRADO GUTIERREZ, MADELEY</t>
  </si>
  <si>
    <t>075023</t>
  </si>
  <si>
    <t>V1X-324</t>
  </si>
  <si>
    <t>HUAMANI MEDINA, RICHARD</t>
  </si>
  <si>
    <t>068102</t>
  </si>
  <si>
    <t>V1V-057</t>
  </si>
  <si>
    <t>MALAGA VARGAS ISMAEL</t>
  </si>
  <si>
    <t>LAURA CUBA , ISMAEL EUSEBIO</t>
  </si>
  <si>
    <t>CONDOPRI LAURA, DIONICIA</t>
  </si>
  <si>
    <t>LAURA CONDORI, MARIA ANGELA</t>
  </si>
  <si>
    <t>066000</t>
  </si>
  <si>
    <t>FH-4638</t>
  </si>
  <si>
    <t>MONROY HUACAC, THALIA</t>
  </si>
  <si>
    <t>078583</t>
  </si>
  <si>
    <t>FH-4876</t>
  </si>
  <si>
    <t>QUISPE PANCCA, GERARDO</t>
  </si>
  <si>
    <t>075016</t>
  </si>
  <si>
    <t>FH-4624</t>
  </si>
  <si>
    <t>VISA CAYO, FERNANDA OLGA</t>
  </si>
  <si>
    <t>075967</t>
  </si>
  <si>
    <t>B2B-331</t>
  </si>
  <si>
    <t>KANA COLQUE, SORAIDA</t>
  </si>
  <si>
    <t>CASTRO KANA, MIREYA ANGIE</t>
  </si>
  <si>
    <t>068469</t>
  </si>
  <si>
    <t>V3V-537</t>
  </si>
  <si>
    <t>OJEDA OCHOA, LUIS</t>
  </si>
  <si>
    <t>ROMERO LOPEZ, BALBINA</t>
  </si>
  <si>
    <t>RODRIGUEZ CHACON,OSCAR</t>
  </si>
  <si>
    <t>072378</t>
  </si>
  <si>
    <t>EH-8719</t>
  </si>
  <si>
    <t>LARICO RODRIGUEZ, ANTONIO</t>
  </si>
  <si>
    <t>065640</t>
  </si>
  <si>
    <t>SJ-2743</t>
  </si>
  <si>
    <t>JIMENEZ BEGAZO, VIRGINIA</t>
  </si>
  <si>
    <t>066120</t>
  </si>
  <si>
    <t>EH-6335</t>
  </si>
  <si>
    <t>QUIMPER ARENAS, ELARD GENARO</t>
  </si>
  <si>
    <t>HUARACHI PACHARI, YENI</t>
  </si>
  <si>
    <t>077037</t>
  </si>
  <si>
    <t>V2H-638</t>
  </si>
  <si>
    <t>CASTELLON FLORES, DAVID</t>
  </si>
  <si>
    <t>069739</t>
  </si>
  <si>
    <t>DH-2942</t>
  </si>
  <si>
    <t>ALCA UMIYAURI, JACINTO</t>
  </si>
  <si>
    <t>075071</t>
  </si>
  <si>
    <t>A0U-770</t>
  </si>
  <si>
    <t>CRUZ GALDOS, MARCIAL</t>
  </si>
  <si>
    <t>077340</t>
  </si>
  <si>
    <t>Y1Q-617</t>
  </si>
  <si>
    <t>DURAND FLORES, GERBACIO NEPTALI</t>
  </si>
  <si>
    <t>066018</t>
  </si>
  <si>
    <t>GARAY AMESQUITA, CECILIA</t>
  </si>
  <si>
    <t>LAZO GARAY, ANGEL SANTIAGO</t>
  </si>
  <si>
    <t>058237</t>
  </si>
  <si>
    <t>V1C-189</t>
  </si>
  <si>
    <t>YUPANQUI MACHACA, WALTER</t>
  </si>
  <si>
    <t>059530</t>
  </si>
  <si>
    <t>FH-1426</t>
  </si>
  <si>
    <t>APAZA RONDON, PAULA</t>
  </si>
  <si>
    <t>074512</t>
  </si>
  <si>
    <t>V1Y-773</t>
  </si>
  <si>
    <t>DELGADILLO SANCHEZ, JUAN CARLOS</t>
  </si>
  <si>
    <t>071178</t>
  </si>
  <si>
    <t>V2M-184</t>
  </si>
  <si>
    <t>AGUILAR MAMANI, RAQUEL</t>
  </si>
  <si>
    <t>068048</t>
  </si>
  <si>
    <t>AQQ-703</t>
  </si>
  <si>
    <t>HUACCASI TICONA, JUAN CARLOS</t>
  </si>
  <si>
    <t>LUNA VARGAS, ROCIO MILAGROS</t>
  </si>
  <si>
    <t>MENDOZA RICALDE,  OSCAR PERCY</t>
  </si>
  <si>
    <t>067884</t>
  </si>
  <si>
    <t>ALTAMIRANO ZAMORA, LUZMILA</t>
  </si>
  <si>
    <t>063765</t>
  </si>
  <si>
    <t>A8X-069</t>
  </si>
  <si>
    <t>CANO VACA, DANNY</t>
  </si>
  <si>
    <t>PUMALUQUE CHAMBI, HENRY ADOLFO</t>
  </si>
  <si>
    <t>078380</t>
  </si>
  <si>
    <t>DH-8379</t>
  </si>
  <si>
    <t>QUISPE LLOCLLE, YAMILET YENY</t>
  </si>
  <si>
    <t>072252</t>
  </si>
  <si>
    <t>V1D-748</t>
  </si>
  <si>
    <t>QUISPE SOTO, ROSALIA</t>
  </si>
  <si>
    <t>071756</t>
  </si>
  <si>
    <t>V1Y-499</t>
  </si>
  <si>
    <t>RAYME RUIZ, DAYRON</t>
  </si>
  <si>
    <t>076033</t>
  </si>
  <si>
    <t>EH-4646</t>
  </si>
  <si>
    <t>TARAPA VICHATA, FERNANDO</t>
  </si>
  <si>
    <t>069221</t>
  </si>
  <si>
    <t>V3Y-080</t>
  </si>
  <si>
    <t>VASQUEZ CHICAÑA,ALEX</t>
  </si>
  <si>
    <t>078738</t>
  </si>
  <si>
    <t>V4I-189</t>
  </si>
  <si>
    <t>GALDOS ALVAREZ, GRACIELA</t>
  </si>
  <si>
    <t>077659</t>
  </si>
  <si>
    <t>D7U-901</t>
  </si>
  <si>
    <t>ROMANI ARAPA, FRANCISCO</t>
  </si>
  <si>
    <t>064731</t>
  </si>
  <si>
    <t>V1K-567</t>
  </si>
  <si>
    <t>DELGADO QUISPE, JULIA</t>
  </si>
  <si>
    <t>CRUZ MAMANI, REYNA</t>
  </si>
  <si>
    <t>070735</t>
  </si>
  <si>
    <t>FH-6652</t>
  </si>
  <si>
    <t>QUISPE VASQUEZ, MATHIAS</t>
  </si>
  <si>
    <t>076915</t>
  </si>
  <si>
    <t>EH-7998</t>
  </si>
  <si>
    <t>GUERREROS ESPINOZA, ROSALIA</t>
  </si>
  <si>
    <t>075033</t>
  </si>
  <si>
    <t>FH-5202</t>
  </si>
  <si>
    <t>HUAMANI CRUZ, ADRIAN</t>
  </si>
  <si>
    <t>074590</t>
  </si>
  <si>
    <t>V2F-112</t>
  </si>
  <si>
    <t>VARGAS CAHUAYA, MIGUEL ANGEL</t>
  </si>
  <si>
    <t>063283</t>
  </si>
  <si>
    <t>V1J-654</t>
  </si>
  <si>
    <t>PEÑARES VIUDA DEL CARPIO, LUCY MARGARITA</t>
  </si>
  <si>
    <t>077898</t>
  </si>
  <si>
    <t>FH-6081</t>
  </si>
  <si>
    <t>APAC MORALES, THAYLOR GABRIEL</t>
  </si>
  <si>
    <t>074380</t>
  </si>
  <si>
    <t>V3B-664</t>
  </si>
  <si>
    <t>VILLANUEVA APARICIO, JORGE</t>
  </si>
  <si>
    <t>APAZA GONZALES, FRANCISCO</t>
  </si>
  <si>
    <t>CANO VILLAFUERTE, DELFORD</t>
  </si>
  <si>
    <t>SARAVIA SERRANO, MARIO</t>
  </si>
  <si>
    <t>GIL CAZANI, ERICSON</t>
  </si>
  <si>
    <t>064607</t>
  </si>
  <si>
    <t>V2E-242</t>
  </si>
  <si>
    <t>HUANCA POMA, ALEXANDER RENE</t>
  </si>
  <si>
    <t>066040</t>
  </si>
  <si>
    <t>V3S-343</t>
  </si>
  <si>
    <t>HERNANI MADUEÑO, JOSE</t>
  </si>
  <si>
    <t>078037</t>
  </si>
  <si>
    <t>V1G-073</t>
  </si>
  <si>
    <t>ESQUIACOLA SILVA, JUAN</t>
  </si>
  <si>
    <t>073732</t>
  </si>
  <si>
    <t>V1Z-469</t>
  </si>
  <si>
    <t>NEIRA ROJAS, JOSE MANUEL</t>
  </si>
  <si>
    <t>071282</t>
  </si>
  <si>
    <t>EH-6339</t>
  </si>
  <si>
    <t>HUARCAYA CACERES, PATRICIA</t>
  </si>
  <si>
    <t>GRAU RUIZ, VICTOR RAUL</t>
  </si>
  <si>
    <t>061124</t>
  </si>
  <si>
    <t>V1L-559</t>
  </si>
  <si>
    <t>MAMANI BARRERA, VICTORIA ANDREA</t>
  </si>
  <si>
    <t>073528</t>
  </si>
  <si>
    <t>V1U-246</t>
  </si>
  <si>
    <t>REYNOSO PORTUGAL, VITTO</t>
  </si>
  <si>
    <t>070724</t>
  </si>
  <si>
    <t>V1W-238</t>
  </si>
  <si>
    <t>VEGA GARCIA, LUIS JESUS</t>
  </si>
  <si>
    <t>VIZCARRA MORA, FELIX PASTOR</t>
  </si>
  <si>
    <t>MORA DE VIZCARRA , CARMEN</t>
  </si>
  <si>
    <t>067606</t>
  </si>
  <si>
    <t>AOD-749</t>
  </si>
  <si>
    <t>YAGUA ALCANTARA, BELEN</t>
  </si>
  <si>
    <t>067035</t>
  </si>
  <si>
    <t>V2N-004</t>
  </si>
  <si>
    <t>LOPEZ REVILLA, ISABEL TRINIDAD</t>
  </si>
  <si>
    <t>064489</t>
  </si>
  <si>
    <t>V2V-609</t>
  </si>
  <si>
    <t>BALLESTEROS ÑAUPA, VICTOR MANUEL</t>
  </si>
  <si>
    <t>069670</t>
  </si>
  <si>
    <t xml:space="preserve">B9U-658  </t>
  </si>
  <si>
    <t>CHACON VILCA, JUAN CARLOS</t>
  </si>
  <si>
    <t>060833</t>
  </si>
  <si>
    <t>EH-7012</t>
  </si>
  <si>
    <t>GUZMAN MELGAR, PAULA LOURDES</t>
  </si>
  <si>
    <t>070186</t>
  </si>
  <si>
    <t>TH-1795</t>
  </si>
  <si>
    <t>HURTADO VALDERRAMA, KEVIN</t>
  </si>
  <si>
    <t>063869</t>
  </si>
  <si>
    <t>V2J-610</t>
  </si>
  <si>
    <t>SAMANEZ JUSTO, JOSUE GUILLERMO</t>
  </si>
  <si>
    <t>067413</t>
  </si>
  <si>
    <t>FH-4606</t>
  </si>
  <si>
    <t>DIAZ OVIEDO, MAYTE</t>
  </si>
  <si>
    <t>076957</t>
  </si>
  <si>
    <t>B1Y-025</t>
  </si>
  <si>
    <t>OLIN MIRANDA, JEAN</t>
  </si>
  <si>
    <t>MONTES RODRIGUEZ, NILDA</t>
  </si>
  <si>
    <t>RODRIGUEZ VARGAS, NIDIA</t>
  </si>
  <si>
    <t>070366</t>
  </si>
  <si>
    <t>DH-9223</t>
  </si>
  <si>
    <t>LIMA YUPANQUI, JESUS</t>
  </si>
  <si>
    <t>SIMARINI CHALE, DORIS</t>
  </si>
  <si>
    <t>LIMA SIMARINI, FLOR DE MARIA</t>
  </si>
  <si>
    <t>077896</t>
  </si>
  <si>
    <t>V1C-420</t>
  </si>
  <si>
    <t>APAZA GALARZA, FEDIL</t>
  </si>
  <si>
    <t>058402</t>
  </si>
  <si>
    <t>FH-2694</t>
  </si>
  <si>
    <t>LEON QUISPE, RODOLFO JESUS</t>
  </si>
  <si>
    <t>MAMANI CACERES, ANDY FABIAN</t>
  </si>
  <si>
    <t>066458</t>
  </si>
  <si>
    <t>A5N-485</t>
  </si>
  <si>
    <t>TORRES YANQUI, CLETO</t>
  </si>
  <si>
    <t>RIOS RONDON, ANA MARIA</t>
  </si>
  <si>
    <t>069831</t>
  </si>
  <si>
    <t>V1U-170</t>
  </si>
  <si>
    <t>PUCHO CHALCO, FERNANDO</t>
  </si>
  <si>
    <t>ASCENCIO QUISPE, WILLI</t>
  </si>
  <si>
    <t>078543</t>
  </si>
  <si>
    <t>V3I-335</t>
  </si>
  <si>
    <t>CARPIO DIAZ, LUCIANA</t>
  </si>
  <si>
    <t>GAMARRA VILCA, MAYCOL</t>
  </si>
  <si>
    <t>077155</t>
  </si>
  <si>
    <t>V4F-598</t>
  </si>
  <si>
    <t>RAMIREZ CASAFRANCA, GESLEY BERINTHIA</t>
  </si>
  <si>
    <t>078988</t>
  </si>
  <si>
    <t>V2D-032</t>
  </si>
  <si>
    <t>TACO CRUZ, TERESA JESUS</t>
  </si>
  <si>
    <t>077210</t>
  </si>
  <si>
    <t>V5G-723</t>
  </si>
  <si>
    <t>LUDEÑA CARRASCO, ROXANA</t>
  </si>
  <si>
    <t>BUSTINCIO QUISPE, TOMASA</t>
  </si>
  <si>
    <t>HUAMANI PINTO, URSULA</t>
  </si>
  <si>
    <t>VELAZQUEZ CHOQUEHUAYTA,VICTORIA</t>
  </si>
  <si>
    <t>078815</t>
  </si>
  <si>
    <t>Z1Q-290</t>
  </si>
  <si>
    <t>CHAVEZ PORTOCARRERO, FREDY</t>
  </si>
  <si>
    <t>078573</t>
  </si>
  <si>
    <t>V4Q-407</t>
  </si>
  <si>
    <t>HUAYLLAPUMA LIMA, CARMEN ROSA</t>
  </si>
  <si>
    <t>073357</t>
  </si>
  <si>
    <t>V4D-051</t>
  </si>
  <si>
    <t>CHAVEZ DE PERALTA, CECILIA</t>
  </si>
  <si>
    <t>075335</t>
  </si>
  <si>
    <t>GH-5133</t>
  </si>
  <si>
    <t>BERMUDEZ VALDIVIA, KEVIN</t>
  </si>
  <si>
    <t>MORALES TORRES, BILLY</t>
  </si>
  <si>
    <t>MORALES TORRES, EDITH</t>
  </si>
  <si>
    <t>078627</t>
  </si>
  <si>
    <t>V2C-649</t>
  </si>
  <si>
    <t>ARENAS CHALCO, ANTONIO ALFREDO</t>
  </si>
  <si>
    <t>074750</t>
  </si>
  <si>
    <t>C4V-616</t>
  </si>
  <si>
    <t>CHAMBI SALAMANCA, JOHAN</t>
  </si>
  <si>
    <t>SALAMANCA LAURA, ANA</t>
  </si>
  <si>
    <t>CHAMBI SALAMANCA, CARLOS</t>
  </si>
  <si>
    <t>QUISPE SALAMANCA, PAMELA</t>
  </si>
  <si>
    <t>067560</t>
  </si>
  <si>
    <t>V2P-587</t>
  </si>
  <si>
    <t>MACHACA ANCO, DENIS</t>
  </si>
  <si>
    <t xml:space="preserve"> APAZA CAPATINTA CRISTOFER ANTONY</t>
  </si>
  <si>
    <t>078927</t>
  </si>
  <si>
    <t>V4M-215</t>
  </si>
  <si>
    <t>MAMANI POLACO, LUANA</t>
  </si>
  <si>
    <t>MAMANI POLACO, JUSHUA</t>
  </si>
  <si>
    <t>074280</t>
  </si>
  <si>
    <t>TH-3939</t>
  </si>
  <si>
    <t>BUSTINZA CAZA, TEOFILO</t>
  </si>
  <si>
    <t>073993</t>
  </si>
  <si>
    <t>EH-4271</t>
  </si>
  <si>
    <t>SUCA SUCA, NADIEL ELIZABETH</t>
  </si>
  <si>
    <t>ATENCIO MAQUE, MARIA</t>
  </si>
  <si>
    <t>069513</t>
  </si>
  <si>
    <t>X1M-751</t>
  </si>
  <si>
    <t>MACHACA TORRES, MARYORI FATIMA</t>
  </si>
  <si>
    <t>070718</t>
  </si>
  <si>
    <t>V2V-320</t>
  </si>
  <si>
    <t>SANCHEZ LIMACHE, FEDERICO</t>
  </si>
  <si>
    <t>077350</t>
  </si>
  <si>
    <t>Z2E-705</t>
  </si>
  <si>
    <t>UMPIRE NEYRA, LILIAN</t>
  </si>
  <si>
    <t>066035</t>
  </si>
  <si>
    <t>V2L-075</t>
  </si>
  <si>
    <t>CUBA SALAS, ANGIE MELANIE</t>
  </si>
  <si>
    <t>075831</t>
  </si>
  <si>
    <t>H1P-655</t>
  </si>
  <si>
    <t>QUISPE YANCAPALLO, MARIA</t>
  </si>
  <si>
    <t>AREQUIPA-AREUQIPA</t>
  </si>
  <si>
    <t>CACERES NINA, AGAPITO</t>
  </si>
  <si>
    <t>VILCARANI CHORA, GREGORIO</t>
  </si>
  <si>
    <t>CUBA FLORES, CARMEN</t>
  </si>
  <si>
    <t>QUISPE MAMANI, ROSA</t>
  </si>
  <si>
    <t>VERA VIZCARDO, JULIANA</t>
  </si>
  <si>
    <t>CUEVA ZARATE, NICOL</t>
  </si>
  <si>
    <t>ZARATE YUCRA, ANA</t>
  </si>
  <si>
    <t>CUEVA ZARATE, NAYELLY MADELEY</t>
  </si>
  <si>
    <t>083387</t>
  </si>
  <si>
    <t>EH-7752</t>
  </si>
  <si>
    <t>PAZ OVIEDO TAYA DE GARCIA, ZENOBIA</t>
  </si>
  <si>
    <t>078748</t>
  </si>
  <si>
    <t>A6K-704</t>
  </si>
  <si>
    <t>PASTRANA GUZMAN, SUSANA ELIZABETH</t>
  </si>
  <si>
    <t>067421</t>
  </si>
  <si>
    <t>BF-3105</t>
  </si>
  <si>
    <t>MOLINA CARRILLO, JHONY</t>
  </si>
  <si>
    <t>078045</t>
  </si>
  <si>
    <t>V4N-461</t>
  </si>
  <si>
    <t>CASTELO PACCO, NATALIA LUZ</t>
  </si>
  <si>
    <t>064268</t>
  </si>
  <si>
    <t>V1C-123</t>
  </si>
  <si>
    <t>PUMA ALACHUA, JOICE VERENICE</t>
  </si>
  <si>
    <t>PACO USCA, JUANA MARIA</t>
  </si>
  <si>
    <t>CCAÑA PACO, LUIS ANDERSON</t>
  </si>
  <si>
    <t>ALACHUA ANCCO, ANA MARIA</t>
  </si>
  <si>
    <t>074425</t>
  </si>
  <si>
    <t>V1K-572</t>
  </si>
  <si>
    <t>CHAVEZ CLAVOS, MIGUEL ANGEL</t>
  </si>
  <si>
    <t>CONDORI PAUCA, DAYSI</t>
  </si>
  <si>
    <t>077355</t>
  </si>
  <si>
    <t>V2E-040</t>
  </si>
  <si>
    <t>INCA ZAMATA, SANTIAGO DAVID</t>
  </si>
  <si>
    <t>070224</t>
  </si>
  <si>
    <t>FH-1137</t>
  </si>
  <si>
    <t>FLORES ABARTO, SANDRA PAOLA</t>
  </si>
  <si>
    <t>069708</t>
  </si>
  <si>
    <t>UZ-1709</t>
  </si>
  <si>
    <t>ORBEGOZO CORRALES,MARIA</t>
  </si>
  <si>
    <t>CRUZ ORBEGOZO, JOSEPTH</t>
  </si>
  <si>
    <t>074727</t>
  </si>
  <si>
    <t>GH-7656</t>
  </si>
  <si>
    <t>SOTO CHARCA, JUAN</t>
  </si>
  <si>
    <t>072416</t>
  </si>
  <si>
    <t>FH-4443</t>
  </si>
  <si>
    <t>CAYALTA LOPEZ, NIDIA ROSITA</t>
  </si>
  <si>
    <t>079570</t>
  </si>
  <si>
    <t>V2H-275</t>
  </si>
  <si>
    <t>CHOQUE BECERRA, SUSANA</t>
  </si>
  <si>
    <t>VEGA CHARA, FIDEL</t>
  </si>
  <si>
    <t>068492</t>
  </si>
  <si>
    <t>V2W-619</t>
  </si>
  <si>
    <t>MINAYA PACHECO, GUALBERTO</t>
  </si>
  <si>
    <t>067342</t>
  </si>
  <si>
    <t>DH-6483</t>
  </si>
  <si>
    <t>CHIRINOS LONGHI, JOSE ANTONIO</t>
  </si>
  <si>
    <t>070927</t>
  </si>
  <si>
    <t>V1S-249</t>
  </si>
  <si>
    <t>ATAUCURI MOLINA,MAYVE</t>
  </si>
  <si>
    <t>YUCRA CONDORI, EDISON</t>
  </si>
  <si>
    <t>MONTALVO CUNO,KELVIN ADERLY</t>
  </si>
  <si>
    <t>076852</t>
  </si>
  <si>
    <t>EH-8374</t>
  </si>
  <si>
    <t>QUISPE GONZALES, CARMEN</t>
  </si>
  <si>
    <t>065683</t>
  </si>
  <si>
    <t>A2B-455</t>
  </si>
  <si>
    <t>CALDERON GAMARRA , NIKOL</t>
  </si>
  <si>
    <t>CALDERON GAMARRA,GERALDINE</t>
  </si>
  <si>
    <t>ALI LIPE, ELIZABETH</t>
  </si>
  <si>
    <t>OCAMPO ZUMAETA, JACK LUZ</t>
  </si>
  <si>
    <t>GAMARRA HUAGUALUQUE, AMALIA</t>
  </si>
  <si>
    <t>PINTO APAZA, MILTON</t>
  </si>
  <si>
    <t>068648</t>
  </si>
  <si>
    <t>V3L-099</t>
  </si>
  <si>
    <t>BEDOYA TORRES, GAVINO ROLANDO</t>
  </si>
  <si>
    <t>072766</t>
  </si>
  <si>
    <t>V2E-691</t>
  </si>
  <si>
    <t>GAMARRA ARIAS, JOSE LUIS</t>
  </si>
  <si>
    <t>OJEDA PORTUGAL, ERICK JOEL</t>
  </si>
  <si>
    <t>PADILLA ARANA, JOHN WILLIANS</t>
  </si>
  <si>
    <t>ROJAS ARANA, YOSEF ANGEL</t>
  </si>
  <si>
    <t>073662</t>
  </si>
  <si>
    <t>DH-8182</t>
  </si>
  <si>
    <t>SALDIVAR APAZA, JOSE LUIS</t>
  </si>
  <si>
    <t>080821</t>
  </si>
  <si>
    <t>V2G-649</t>
  </si>
  <si>
    <t>CHALCO FLORES, LUIS ALBERTO</t>
  </si>
  <si>
    <t>MEDINA VELARDE, EUGENIO MILTON</t>
  </si>
  <si>
    <t>COLQUE SANTILLANA, ALDAIR</t>
  </si>
  <si>
    <t>075596</t>
  </si>
  <si>
    <t>EH-7239</t>
  </si>
  <si>
    <t>NIÑO DE GUZMAN CUTIPA, CHELSEA FERNANDA</t>
  </si>
  <si>
    <t>CONDE CUTIPA, ALEX</t>
  </si>
  <si>
    <t>CUTIPA ELTOM, NIÑO DE GUZMAN</t>
  </si>
  <si>
    <t>CUTIPA TTISACCANI, UBALDINA</t>
  </si>
  <si>
    <t>066086</t>
  </si>
  <si>
    <t>V2O-615</t>
  </si>
  <si>
    <t>SANDOVAL HOLGADO, CLINTON</t>
  </si>
  <si>
    <t>070207</t>
  </si>
  <si>
    <t>FH-1004</t>
  </si>
  <si>
    <t>QUISPE GORDILLO, BRAULIO</t>
  </si>
  <si>
    <t>070682</t>
  </si>
  <si>
    <t>V1M-106</t>
  </si>
  <si>
    <t>MAMANI AYUQUIPA,MIRIAN SOLEDAD</t>
  </si>
  <si>
    <t>AREQUIPA-CAYLLOMA</t>
  </si>
  <si>
    <t>MAQUE YANQUE, ALEJANDRINA</t>
  </si>
  <si>
    <t>CCAPIRA YANQUE, NELLY SARITA</t>
  </si>
  <si>
    <t>084193</t>
  </si>
  <si>
    <t>V2W-635</t>
  </si>
  <si>
    <t>MAMANI BALDARRAGO, PAMELA</t>
  </si>
  <si>
    <t>080342</t>
  </si>
  <si>
    <t>V1Y-427</t>
  </si>
  <si>
    <t>PUMA ITALAQUE, HEIDI SELENE</t>
  </si>
  <si>
    <t>QUISPE AVALOS, ADA ROCIO</t>
  </si>
  <si>
    <t>069360</t>
  </si>
  <si>
    <t>UH-4267</t>
  </si>
  <si>
    <t>CARDENAS DIAZ, NICOL</t>
  </si>
  <si>
    <t>CARDENAS DIAZ, CAMILA</t>
  </si>
  <si>
    <t xml:space="preserve">TICONA DELGADO, ANA SELENE </t>
  </si>
  <si>
    <t>HUISA HACHA,YESENIA CLARISA</t>
  </si>
  <si>
    <t>CUELLAR RAMOS,THYFANNY BRIGITTE</t>
  </si>
  <si>
    <t>079826</t>
  </si>
  <si>
    <t>B5N-789</t>
  </si>
  <si>
    <t>FLORES TOLEDO, SANTIAGO MAGDIEL</t>
  </si>
  <si>
    <t>067536</t>
  </si>
  <si>
    <t>V1O-278</t>
  </si>
  <si>
    <t>QUISPE COJOMA,HILTON REMIGIO</t>
  </si>
  <si>
    <t>073961</t>
  </si>
  <si>
    <t>V4E-218</t>
  </si>
  <si>
    <t>COPACONDORI ESCALENTE, JUAN</t>
  </si>
  <si>
    <t>075928</t>
  </si>
  <si>
    <t>V4A-457</t>
  </si>
  <si>
    <t>TICONA MAMANI, EFRAIN</t>
  </si>
  <si>
    <t xml:space="preserve">RUIZ AREVALO , AMBAR </t>
  </si>
  <si>
    <t>072359</t>
  </si>
  <si>
    <t>A9G-061</t>
  </si>
  <si>
    <t>CONDORI LARREA, ANGEL</t>
  </si>
  <si>
    <t>074193</t>
  </si>
  <si>
    <t>V3X-578</t>
  </si>
  <si>
    <t>MEDINA AMPUERO, ZULEICA</t>
  </si>
  <si>
    <t>063631</t>
  </si>
  <si>
    <t>IO-7881</t>
  </si>
  <si>
    <t>APAZA HUALLPA , RAUL RONNY</t>
  </si>
  <si>
    <t>ZEGARRA ZUMBA, FABIO</t>
  </si>
  <si>
    <t>ZANABRIA YUCRA, AYTRON</t>
  </si>
  <si>
    <t>071559</t>
  </si>
  <si>
    <t>EH-7637</t>
  </si>
  <si>
    <t>QUISPE LLALLERCCO,WILSER</t>
  </si>
  <si>
    <t>QUISPE LLALLERCCO, CONSUELO</t>
  </si>
  <si>
    <t>077464</t>
  </si>
  <si>
    <t>FH-2625</t>
  </si>
  <si>
    <t>YALLERCO SABINA, MARLENI</t>
  </si>
  <si>
    <t>LAURA MAMANI, CARLOS</t>
  </si>
  <si>
    <t>068305</t>
  </si>
  <si>
    <t>V2R-489</t>
  </si>
  <si>
    <t>LOPE CASTAÑEDA, ANGEL CESAR</t>
  </si>
  <si>
    <t>080813</t>
  </si>
  <si>
    <t>V1S-706</t>
  </si>
  <si>
    <t>TICONA RONDON, PERCY</t>
  </si>
  <si>
    <t>069880</t>
  </si>
  <si>
    <t>FH-2560</t>
  </si>
  <si>
    <t>CCAHUA MERMA,  J.HILARIO</t>
  </si>
  <si>
    <t>067327</t>
  </si>
  <si>
    <t>FH-6556</t>
  </si>
  <si>
    <t>ROJAS OSNAYO, NORMA</t>
  </si>
  <si>
    <t>071037</t>
  </si>
  <si>
    <t>A3G-082</t>
  </si>
  <si>
    <t>QUISPE NUÑEZ, LIDIA LEONOR</t>
  </si>
  <si>
    <t>OJEDA QUISPE, DOMINICK ANGELO</t>
  </si>
  <si>
    <t>QUISPE NUÑEZ, LESLIE</t>
  </si>
  <si>
    <t>069522</t>
  </si>
  <si>
    <t>V1E-061</t>
  </si>
  <si>
    <t>CARBAJAL DE LA CRUZ, VERONICA</t>
  </si>
  <si>
    <t>068558</t>
  </si>
  <si>
    <t>V1R-453</t>
  </si>
  <si>
    <t>HUALLPA PALOMNINO, DAVID</t>
  </si>
  <si>
    <t>069933</t>
  </si>
  <si>
    <t>EH-2541</t>
  </si>
  <si>
    <t>CHURA QUISPE, NATALY</t>
  </si>
  <si>
    <t>QUISPE MAMANI, JUANA</t>
  </si>
  <si>
    <t>APAZA BELLIDO, LUZ</t>
  </si>
  <si>
    <t>CHOQUE TURPO, KIARA</t>
  </si>
  <si>
    <t>067064</t>
  </si>
  <si>
    <t>EH-6629</t>
  </si>
  <si>
    <t>RAMOS CARDENAS, MILAGROS</t>
  </si>
  <si>
    <t>RAMOS TICONA, NICAMEDOS</t>
  </si>
  <si>
    <t>077612</t>
  </si>
  <si>
    <t>V4Q-326</t>
  </si>
  <si>
    <t>MALDONADO HUARACHI, MONICA</t>
  </si>
  <si>
    <t>079537</t>
  </si>
  <si>
    <t>EH-5745</t>
  </si>
  <si>
    <t>QUISPE COILA, CLAUDIO PIO</t>
  </si>
  <si>
    <t>GUEVARA UGARTE, ZOILA</t>
  </si>
  <si>
    <t>DIAZ TURPO, FELICITAS</t>
  </si>
  <si>
    <t>070084</t>
  </si>
  <si>
    <t>B1N-731</t>
  </si>
  <si>
    <t>PUMA CRISANTO, SONIA</t>
  </si>
  <si>
    <t>MURILLO PUMA, ADRIANA</t>
  </si>
  <si>
    <t>069695</t>
  </si>
  <si>
    <t>EH-7389</t>
  </si>
  <si>
    <t>LLERENA MALAGA, SERGIO</t>
  </si>
  <si>
    <t>078390</t>
  </si>
  <si>
    <t>M1I-762</t>
  </si>
  <si>
    <t>ALLIER SUTA, JOAN</t>
  </si>
  <si>
    <t>084851</t>
  </si>
  <si>
    <t>FH-4252</t>
  </si>
  <si>
    <t>PINEDA TICONA, MARILU</t>
  </si>
  <si>
    <t>073558</t>
  </si>
  <si>
    <t>X1Y-404</t>
  </si>
  <si>
    <t>ARO AYNA, ANTONIO</t>
  </si>
  <si>
    <t>078334</t>
  </si>
  <si>
    <t>A0H-614</t>
  </si>
  <si>
    <t>LIZARRAGA ALVAREZ, MINDI FABIOLA</t>
  </si>
  <si>
    <t>062661</t>
  </si>
  <si>
    <t>V3B-101</t>
  </si>
  <si>
    <t>CARDENAS DIAZ, JOSE MIGUEL</t>
  </si>
  <si>
    <t>064046</t>
  </si>
  <si>
    <t>EH-8971</t>
  </si>
  <si>
    <t>CARDENAS MENDOZA, LUCILA</t>
  </si>
  <si>
    <t>ALEGRIA CARDENAS , IGNACIA</t>
  </si>
  <si>
    <t>080263</t>
  </si>
  <si>
    <t>V1Y-793</t>
  </si>
  <si>
    <t>LLAZA HUAMAN, ESTHER AURORA</t>
  </si>
  <si>
    <t>CONDORI CHAMBI,  NELIDA ROCIO</t>
  </si>
  <si>
    <t>BENIQUE QUISACADA, EPIFANIA</t>
  </si>
  <si>
    <t>VARGAS ÑAHUI, CARLOS</t>
  </si>
  <si>
    <t>074314</t>
  </si>
  <si>
    <t>EH-4278</t>
  </si>
  <si>
    <t>APAZA HUAYNASI, WASHINTON</t>
  </si>
  <si>
    <t>074232</t>
  </si>
  <si>
    <t>V4D-535</t>
  </si>
  <si>
    <t>ARIZACA GUILLEN, CRISTINA</t>
  </si>
  <si>
    <t>GUEVARA PUMA, FELIPE</t>
  </si>
  <si>
    <t>ARANA GOMEZ, ANDRES GABRIEL</t>
  </si>
  <si>
    <t>068121</t>
  </si>
  <si>
    <t>DH-8428</t>
  </si>
  <si>
    <t>MAMANI QUISPE, JOSE MIGUEL</t>
  </si>
  <si>
    <t>SALAS MORJUSTO, AGLADIO</t>
  </si>
  <si>
    <t>078793</t>
  </si>
  <si>
    <t>V2K-678</t>
  </si>
  <si>
    <t>CERVANTES PRADO, JACQUELINE</t>
  </si>
  <si>
    <t>BABEL BABEL, ALEXANDRA</t>
  </si>
  <si>
    <t>066788</t>
  </si>
  <si>
    <t>V2U-563</t>
  </si>
  <si>
    <t>CHUÑO VELASQUEZ, BETO</t>
  </si>
  <si>
    <t>VALLEGAS ZEVALLOS , LOURDES</t>
  </si>
  <si>
    <t>070143</t>
  </si>
  <si>
    <t>V1V-049</t>
  </si>
  <si>
    <t>ARCE LUNA, PEDRO</t>
  </si>
  <si>
    <t>074943</t>
  </si>
  <si>
    <t>V4J-033</t>
  </si>
  <si>
    <t>LAURA CALCINA, SABINA</t>
  </si>
  <si>
    <t>076855</t>
  </si>
  <si>
    <t>A6W-749</t>
  </si>
  <si>
    <t>ACOSTA UGLINOJOSA, PABLO</t>
  </si>
  <si>
    <t>076389</t>
  </si>
  <si>
    <t>B1D-514</t>
  </si>
  <si>
    <t>MAMANI SALHUA, YEAN CARLO</t>
  </si>
  <si>
    <t>073960</t>
  </si>
  <si>
    <t>CC-4066</t>
  </si>
  <si>
    <t>ACITUNA ROJAS, AMERICO</t>
  </si>
  <si>
    <t>MELCOHUANCHA VELAZCO, RONY</t>
  </si>
  <si>
    <t>072225</t>
  </si>
  <si>
    <t>V2A-634</t>
  </si>
  <si>
    <t>VASQUEZ GIRALDO, MARGOT</t>
  </si>
  <si>
    <t>VASQUEZ SALAS, RONAL</t>
  </si>
  <si>
    <t>073762</t>
  </si>
  <si>
    <t>V4F-463</t>
  </si>
  <si>
    <t>VALDEZ HILARIO, MAGDA</t>
  </si>
  <si>
    <t>HUISA VALDEZ, YULI LILIANA</t>
  </si>
  <si>
    <t>076361</t>
  </si>
  <si>
    <t>V2G-322</t>
  </si>
  <si>
    <t>ARAUJO VALENCIA, ANGEL URIEL</t>
  </si>
  <si>
    <t>062643</t>
  </si>
  <si>
    <t>FH-2260</t>
  </si>
  <si>
    <t>TOLEDO LLANOS, SHEYLA ISABEL</t>
  </si>
  <si>
    <t>069828</t>
  </si>
  <si>
    <t>V1W-456</t>
  </si>
  <si>
    <t>PARRIELLO CUELA, LOURDES</t>
  </si>
  <si>
    <t>076110</t>
  </si>
  <si>
    <t>ABARCA REYES, STEPHANIE MILAGROS</t>
  </si>
  <si>
    <t>069885</t>
  </si>
  <si>
    <t>V1V-404</t>
  </si>
  <si>
    <t>CONDORI FLORES, CLEMENTE</t>
  </si>
  <si>
    <t>GASTON RAMOS, WILBER</t>
  </si>
  <si>
    <t>067706</t>
  </si>
  <si>
    <t>V3F-715</t>
  </si>
  <si>
    <t>CHAMBILLA CONDORI, ADELA</t>
  </si>
  <si>
    <t>067488</t>
  </si>
  <si>
    <t>FH-3771</t>
  </si>
  <si>
    <t>VASQUEZ FONSECA, LUCIANA</t>
  </si>
  <si>
    <t>ALFARO VASQUEZ, SHANTAL</t>
  </si>
  <si>
    <t>ALFARO VELASQUEZ, LUIS CARLOS</t>
  </si>
  <si>
    <t>075522</t>
  </si>
  <si>
    <t>SALAS FLORES, RUFINO</t>
  </si>
  <si>
    <t>074451</t>
  </si>
  <si>
    <t>A5X-458</t>
  </si>
  <si>
    <t>ZUÑIGA DELGADO, ELENA EMPERATRIZ</t>
  </si>
  <si>
    <t>076630</t>
  </si>
  <si>
    <t>FH-4656</t>
  </si>
  <si>
    <t>TORRES GALLEGOS, EMILIO</t>
  </si>
  <si>
    <t>076437</t>
  </si>
  <si>
    <t>UH-4617</t>
  </si>
  <si>
    <t>CALDERON MELO, APOLINARIA</t>
  </si>
  <si>
    <t>073439</t>
  </si>
  <si>
    <t>Z2R-738</t>
  </si>
  <si>
    <t>VILCA DE MEZA LONIDAS</t>
  </si>
  <si>
    <t>072992</t>
  </si>
  <si>
    <t>CH-7003</t>
  </si>
  <si>
    <t>DIAZ DEL OLMO NIETO, GONZALO</t>
  </si>
  <si>
    <t>LAZO INCA, YAMILETH</t>
  </si>
  <si>
    <t>076918</t>
  </si>
  <si>
    <t>V2Z-290</t>
  </si>
  <si>
    <t>ARAGON SUCAPUCA, GABRIEL</t>
  </si>
  <si>
    <t>074952</t>
  </si>
  <si>
    <t>V3V-467</t>
  </si>
  <si>
    <t>CHUMICA GIL, RICARDINA</t>
  </si>
  <si>
    <t>072300</t>
  </si>
  <si>
    <t>V3Z-133</t>
  </si>
  <si>
    <t>ROJAS HUAYNA, CARLOS</t>
  </si>
  <si>
    <t>073855</t>
  </si>
  <si>
    <t>V4Q-771</t>
  </si>
  <si>
    <t>CUADROS REVILLA, MARYORIE</t>
  </si>
  <si>
    <t>066429</t>
  </si>
  <si>
    <t>FH-1074</t>
  </si>
  <si>
    <t>MAMANI ESQUIVIAS, MARCO</t>
  </si>
  <si>
    <t>075395</t>
  </si>
  <si>
    <t>V1R-384</t>
  </si>
  <si>
    <t>QUISPE CUTI, JIMY GIANPIERE</t>
  </si>
  <si>
    <t>QUISPE CUTI, LUZ MEDALY</t>
  </si>
  <si>
    <t>CUTI GUTIERREZ, LIDIA</t>
  </si>
  <si>
    <t>QUISPE RIVERA, ALBERTO</t>
  </si>
  <si>
    <t>079818</t>
  </si>
  <si>
    <t>EH-5905</t>
  </si>
  <si>
    <t>SARASA QUISPE, MARIA ISABEL</t>
  </si>
  <si>
    <t>075902</t>
  </si>
  <si>
    <t>SUITA CASTRO, MIRIAN FRANCISCA</t>
  </si>
  <si>
    <t>PINTO CAYO, CELESTINO</t>
  </si>
  <si>
    <t>078944</t>
  </si>
  <si>
    <t>FH-3367</t>
  </si>
  <si>
    <t>GUZMAN CASANI, MARY CARMEN</t>
  </si>
  <si>
    <t>VERA GALLEGOS, FRANCO GUSTAVO</t>
  </si>
  <si>
    <t>079833</t>
  </si>
  <si>
    <t>V3N-174</t>
  </si>
  <si>
    <t>LLOCLLE MAMANI, JHONATAN PERCY</t>
  </si>
  <si>
    <t>067238</t>
  </si>
  <si>
    <t>V3T-194</t>
  </si>
  <si>
    <t>ARANA VILLEGAS, ANA MARIA</t>
  </si>
  <si>
    <t>083382</t>
  </si>
  <si>
    <t>X1S-523</t>
  </si>
  <si>
    <t>APAZA APAZA, HILARIA</t>
  </si>
  <si>
    <t>079237</t>
  </si>
  <si>
    <t>V1S-367</t>
  </si>
  <si>
    <t>TICONA QUISPE, ROSA</t>
  </si>
  <si>
    <t>TICONA ACERO, BERNARDINA</t>
  </si>
  <si>
    <t>080258</t>
  </si>
  <si>
    <t>V2O-618</t>
  </si>
  <si>
    <t>QUISPE PACO, MARIA CARMEN</t>
  </si>
  <si>
    <t>083542</t>
  </si>
  <si>
    <t>D9I-933</t>
  </si>
  <si>
    <t>GONZALES PARI , BETZABETH</t>
  </si>
  <si>
    <t>073399</t>
  </si>
  <si>
    <t>DH-9146</t>
  </si>
  <si>
    <t>QUISPE ALARCON, ANTONIO</t>
  </si>
  <si>
    <t>CONDORI CHAVEZ, MILAGROS</t>
  </si>
  <si>
    <t>077108</t>
  </si>
  <si>
    <t>C5L-678</t>
  </si>
  <si>
    <t>CONTRERAS HUAMAN, KARIN</t>
  </si>
  <si>
    <t>CHOQUECOTA SULLA, MARIO</t>
  </si>
  <si>
    <t>069039</t>
  </si>
  <si>
    <t>V2A-015</t>
  </si>
  <si>
    <t>BELTRAN HALLASI, BALDOMIRA</t>
  </si>
  <si>
    <t>071694</t>
  </si>
  <si>
    <t>V1G-372</t>
  </si>
  <si>
    <t>FARFAN MOGROVEJO, SHERLYN MARGARITA</t>
  </si>
  <si>
    <t>076313</t>
  </si>
  <si>
    <t>CASTILLO TORRES, BRENDA OLENKA</t>
  </si>
  <si>
    <t>AREQUIPA- AREQUIPA</t>
  </si>
  <si>
    <t>083015</t>
  </si>
  <si>
    <t>A3N-011</t>
  </si>
  <si>
    <t>MOLLOHUANCA HACHA, SOFIA</t>
  </si>
  <si>
    <t>074922</t>
  </si>
  <si>
    <t>V2F-695</t>
  </si>
  <si>
    <t>ABARCA CORIZAZA, CATALINA JUANA</t>
  </si>
  <si>
    <t>ANCALLA ABARCA, MARIA</t>
  </si>
  <si>
    <t>ROSAS CCAPA, SOFIA</t>
  </si>
  <si>
    <t>ROSAS CCAPA, JUMIN</t>
  </si>
  <si>
    <t>069840</t>
  </si>
  <si>
    <t>GH-4717</t>
  </si>
  <si>
    <t>ALLENDE RAMPAS, MARTHA</t>
  </si>
  <si>
    <t>077208</t>
  </si>
  <si>
    <t>V1S-719</t>
  </si>
  <si>
    <t>SUNI NUNONCCA, SILVERIA</t>
  </si>
  <si>
    <t>070109</t>
  </si>
  <si>
    <t>V3Z-012</t>
  </si>
  <si>
    <t>LUQUE LUQUE, ELENA MARIA</t>
  </si>
  <si>
    <t>068655</t>
  </si>
  <si>
    <t>GH-6739</t>
  </si>
  <si>
    <t>MARTINEZ TORRES, NALDY SOLLISTIANA</t>
  </si>
  <si>
    <t>078978</t>
  </si>
  <si>
    <t>MAMANI ZEVALLOS, OLIVER JESUS</t>
  </si>
  <si>
    <t>067905</t>
  </si>
  <si>
    <t>EH-8303</t>
  </si>
  <si>
    <t>TICONA MAMANI, RAUL</t>
  </si>
  <si>
    <t>075382</t>
  </si>
  <si>
    <t>FH-4294</t>
  </si>
  <si>
    <t>ARIAS FIGUEROA, REYNALDO</t>
  </si>
  <si>
    <t>084904</t>
  </si>
  <si>
    <t>V2U-482</t>
  </si>
  <si>
    <t>CARBAJAL CUTIPA, MICHAEL</t>
  </si>
  <si>
    <t>074474</t>
  </si>
  <si>
    <t>DH-5454</t>
  </si>
  <si>
    <t>AMBAR ARANA, ROSSY</t>
  </si>
  <si>
    <t>070203</t>
  </si>
  <si>
    <t>BIX-964</t>
  </si>
  <si>
    <t>HUILLCA SOTO, MARISOL</t>
  </si>
  <si>
    <t>075719</t>
  </si>
  <si>
    <t>V3E-318</t>
  </si>
  <si>
    <t>ROMERO OSORIO, MARIELA</t>
  </si>
  <si>
    <t>085942</t>
  </si>
  <si>
    <t>B4A-730</t>
  </si>
  <si>
    <t>GARCIA CONDORI, MARIA FERNANADA</t>
  </si>
  <si>
    <t>GARCIA CONDORI, SHIRLEY</t>
  </si>
  <si>
    <t>APAZA, LUIS ROGELIO</t>
  </si>
  <si>
    <t>APAZA MAMANI, YASARI</t>
  </si>
  <si>
    <t>CAHUANUNCO HUAMAN, LAURA DANIELA</t>
  </si>
  <si>
    <t>CHICAÑA CHAPI, CAMILA</t>
  </si>
  <si>
    <t>SENONA BORDA, KEIKO SOFIA</t>
  </si>
  <si>
    <t>LLAMOCA TOTOCAYO, HILDA</t>
  </si>
  <si>
    <t>APAZA COILA,NEYDI MEDALID</t>
  </si>
  <si>
    <t>TORRES CENTENO, VILMA</t>
  </si>
  <si>
    <t>YANARICO PAUCAR, DAMIANA</t>
  </si>
  <si>
    <t>ALCCAMARI CCAHUANA, KARINA</t>
  </si>
  <si>
    <t>084120</t>
  </si>
  <si>
    <t>BE-1121</t>
  </si>
  <si>
    <t>BUSTINZA INQUILLAY, RICARDO</t>
  </si>
  <si>
    <t>073435</t>
  </si>
  <si>
    <t>V3K-005</t>
  </si>
  <si>
    <t>QUISPE ALVAREZ, SOLMAYRA BRISSETTE</t>
  </si>
  <si>
    <t>085738</t>
  </si>
  <si>
    <t>V2X-672</t>
  </si>
  <si>
    <t>LAYME QUISPE, JOSE MANUEL</t>
  </si>
  <si>
    <t>083852</t>
  </si>
  <si>
    <t>V2W-672</t>
  </si>
  <si>
    <t>CUTIPA SULLA, GRICEL</t>
  </si>
  <si>
    <t>074738</t>
  </si>
  <si>
    <t>V1L-396</t>
  </si>
  <si>
    <t>CABANA HUAHUACURI, GLADIS</t>
  </si>
  <si>
    <t>070550</t>
  </si>
  <si>
    <t>JO-2106</t>
  </si>
  <si>
    <t>BENITEZ ARIAS, WILBER ALEXANDER</t>
  </si>
  <si>
    <t>HUAMANI CALLPA, MIGUEL</t>
  </si>
  <si>
    <t>076259</t>
  </si>
  <si>
    <t>EH-9043</t>
  </si>
  <si>
    <t>MORALES POSTIGO, NALDA</t>
  </si>
  <si>
    <t>QUISPE DE APAZA, ASUNTA</t>
  </si>
  <si>
    <t>APAZA QUISPE, YANET MARITZA</t>
  </si>
  <si>
    <t>072971</t>
  </si>
  <si>
    <t>V3A-550</t>
  </si>
  <si>
    <t>VILLENA GUTIERREZ, CAROLINA TERESA</t>
  </si>
  <si>
    <t>074294</t>
  </si>
  <si>
    <t>Y1P-610</t>
  </si>
  <si>
    <t>CASTRO LLALLICO, NILDA NELLY</t>
  </si>
  <si>
    <t>HUILLCA CASTRO, EMERSON</t>
  </si>
  <si>
    <t>CASTRO LOTERA, EDWIN LUIS</t>
  </si>
  <si>
    <t>ALONSO HUIRE, EMMA LUCY</t>
  </si>
  <si>
    <t>CASTRO ALONSO, SARAI GENESIS</t>
  </si>
  <si>
    <t>HUILLCA CONDORI, JACOBO</t>
  </si>
  <si>
    <t>077001</t>
  </si>
  <si>
    <t>MCG-43427</t>
  </si>
  <si>
    <t>NEYRA NEYRA, SEGUNDO</t>
  </si>
  <si>
    <t>076638</t>
  </si>
  <si>
    <t>EH-5150</t>
  </si>
  <si>
    <t>UMAÑA CHAUCA, ALEJANDRINA</t>
  </si>
  <si>
    <t>068722</t>
  </si>
  <si>
    <t>FH-2888</t>
  </si>
  <si>
    <t>VARGAS MACHUCA, CARLA</t>
  </si>
  <si>
    <t>084937</t>
  </si>
  <si>
    <t>SANTOS VILLANUEVA, WILLIAN NILTON</t>
  </si>
  <si>
    <t>069865</t>
  </si>
  <si>
    <t>V1V-392</t>
  </si>
  <si>
    <t>HUAMANI RODRIGUEZ, HILARIA</t>
  </si>
  <si>
    <t>073632</t>
  </si>
  <si>
    <t>V1L-791</t>
  </si>
  <si>
    <t>CHOQUE CONDORI, GRACIELA</t>
  </si>
  <si>
    <t>076071</t>
  </si>
  <si>
    <t>EH-9583</t>
  </si>
  <si>
    <t>FERNANDEZ ASTONITAS, ELIZER</t>
  </si>
  <si>
    <t>VARGAS MELGAREJO, ROSARIO</t>
  </si>
  <si>
    <t>GOMEZ RAYAN, JUSTO</t>
  </si>
  <si>
    <t>085073</t>
  </si>
  <si>
    <t>V1U-577</t>
  </si>
  <si>
    <t>VALVERDE DE OJEDA, AYDE</t>
  </si>
  <si>
    <t>VALVERDE TAPIA, SONIA</t>
  </si>
  <si>
    <t>OJEDA VALVERDE, RAUL ALFREDO</t>
  </si>
  <si>
    <t>073882</t>
  </si>
  <si>
    <t>27421-M</t>
  </si>
  <si>
    <t>MAMANI PARI, FREDY</t>
  </si>
  <si>
    <t>085132</t>
  </si>
  <si>
    <t>V4V-687</t>
  </si>
  <si>
    <t>PUMA FERNANDEZ, VERONICA</t>
  </si>
  <si>
    <t>VIZCARDO CUEVAS, JOSE</t>
  </si>
  <si>
    <t>078289</t>
  </si>
  <si>
    <t>EH-7440</t>
  </si>
  <si>
    <t>BELGARA LOPEZ, GIOVANA</t>
  </si>
  <si>
    <t>070692</t>
  </si>
  <si>
    <t>EH-9997</t>
  </si>
  <si>
    <t>QUISPE CHURA, WILLIAN</t>
  </si>
  <si>
    <t>VILCAHUAMAN YURI, FRANCO</t>
  </si>
  <si>
    <t>PARI CONDORI, JUAN CARLOS</t>
  </si>
  <si>
    <t>075549</t>
  </si>
  <si>
    <t>V1U-736</t>
  </si>
  <si>
    <t>DIAZ CORDOBA, MARTIN AURELIO</t>
  </si>
  <si>
    <t>078712</t>
  </si>
  <si>
    <t>V1Z-719</t>
  </si>
  <si>
    <t>RAMIREZ GUEVARA, VITALIA</t>
  </si>
  <si>
    <t>084953</t>
  </si>
  <si>
    <t>EH-3993</t>
  </si>
  <si>
    <t>MACHACA MESTAS, KEYTI SOFIA</t>
  </si>
  <si>
    <t>077064</t>
  </si>
  <si>
    <t>V4K-024</t>
  </si>
  <si>
    <t>CARREON GUTIERREZ, PAMELA</t>
  </si>
  <si>
    <t>CARREON GUTIERREZ, ALEJANDRA JIMENA</t>
  </si>
  <si>
    <t>080390</t>
  </si>
  <si>
    <t>FH-6321</t>
  </si>
  <si>
    <t>MOGROVEJO DIAZ, OSCAR SEGUNDO</t>
  </si>
  <si>
    <t>MOGROVEJO DIAZ, JOSE</t>
  </si>
  <si>
    <t>ALMONTE FRISANCHO, JOSUE ARNOLD</t>
  </si>
  <si>
    <t>075421</t>
  </si>
  <si>
    <t>V3U-514</t>
  </si>
  <si>
    <t>SALAZAR ROMERO, NORVY</t>
  </si>
  <si>
    <t>RODRIGUEZ SALAZAR, NICOL</t>
  </si>
  <si>
    <t>CHALCO TORRES , JERONIMO ASENCIO</t>
  </si>
  <si>
    <t>084011</t>
  </si>
  <si>
    <t>EH-8800</t>
  </si>
  <si>
    <t>ANCALLE MOSCOSO, GIULIANA</t>
  </si>
  <si>
    <t>ANCALLE ROSADO, OSWALDO</t>
  </si>
  <si>
    <t>SANCHEZ SANCHEZ, ANTONIO</t>
  </si>
  <si>
    <t>079281</t>
  </si>
  <si>
    <t>BZ-1356</t>
  </si>
  <si>
    <t>CHAMBI YARETA, MARIA</t>
  </si>
  <si>
    <t>YARETA VILCA , DOMINGA</t>
  </si>
  <si>
    <t>083502</t>
  </si>
  <si>
    <t>DOB-931</t>
  </si>
  <si>
    <t>MENDOZA HUANCA, GENOVEVA</t>
  </si>
  <si>
    <t>070793</t>
  </si>
  <si>
    <t>V3E-645</t>
  </si>
  <si>
    <t>HUAMAN RAMOS, MAX</t>
  </si>
  <si>
    <t>078387</t>
  </si>
  <si>
    <t>B0G-798</t>
  </si>
  <si>
    <t>TOLEDO BAUTISTA, FLORENTINO</t>
  </si>
  <si>
    <t>073141</t>
  </si>
  <si>
    <t>A7J-096</t>
  </si>
  <si>
    <t>CHAHUAYO CISA, CHRISTINA</t>
  </si>
  <si>
    <t>083066</t>
  </si>
  <si>
    <t>V1E-257</t>
  </si>
  <si>
    <t>CCAHUAYA MAQUE, MARIA CARMEN</t>
  </si>
  <si>
    <t>072356</t>
  </si>
  <si>
    <t>V1Q-745</t>
  </si>
  <si>
    <t>DIAZ PINTO, MARTA</t>
  </si>
  <si>
    <t>076088</t>
  </si>
  <si>
    <t>V3I-508</t>
  </si>
  <si>
    <t>FLORES COLLANA, MARCELINA</t>
  </si>
  <si>
    <t>083802</t>
  </si>
  <si>
    <t>RH-7053</t>
  </si>
  <si>
    <t>OMANTE PEREZ, ELIZABETH</t>
  </si>
  <si>
    <t>PACORI MAMANI, NELLY</t>
  </si>
  <si>
    <t>083945</t>
  </si>
  <si>
    <t>4024-3M</t>
  </si>
  <si>
    <t>PINTO PFOCORI, CARMEN ROSA</t>
  </si>
  <si>
    <t>073110</t>
  </si>
  <si>
    <t>V1J-563</t>
  </si>
  <si>
    <t>VARGAS RAMOS, JUAN CARLOS</t>
  </si>
  <si>
    <t>DIAZ PINTO, MARTHA ANA</t>
  </si>
  <si>
    <t>076364</t>
  </si>
  <si>
    <t>EH-9164</t>
  </si>
  <si>
    <t>CASTILLO SANCHEZ, ENMANUEL JESUS</t>
  </si>
  <si>
    <t>078480</t>
  </si>
  <si>
    <t>HUAYNA VIUDA DE DIAZ, MARCELINA</t>
  </si>
  <si>
    <t>DIAZ HUAYNA, ROSARIO</t>
  </si>
  <si>
    <t>DIAZ HUAYNA, VERONICA</t>
  </si>
  <si>
    <t>068411</t>
  </si>
  <si>
    <t>A9L-410</t>
  </si>
  <si>
    <t>TAPIA LLERENA, JHOMAR</t>
  </si>
  <si>
    <t>081025</t>
  </si>
  <si>
    <t>A8Q-121</t>
  </si>
  <si>
    <t>YANA CASTRO, GIOVANNA</t>
  </si>
  <si>
    <t>CORNEJO YANA, CRISTEL</t>
  </si>
  <si>
    <t>073696</t>
  </si>
  <si>
    <t>M1Z-542</t>
  </si>
  <si>
    <t>MACHACA TARACAYA, ALEJANDRA JAZMIN</t>
  </si>
  <si>
    <t>070208</t>
  </si>
  <si>
    <t>V4C-340</t>
  </si>
  <si>
    <t>NINA APAZA, FRANK</t>
  </si>
  <si>
    <t>078266</t>
  </si>
  <si>
    <t>V1N-726</t>
  </si>
  <si>
    <t>MACHACA VALENCIA, CARMEN CATTY</t>
  </si>
  <si>
    <t>075506</t>
  </si>
  <si>
    <t>V3F-240</t>
  </si>
  <si>
    <t>CHACON MAYHUA, EDSON ROBERTO</t>
  </si>
  <si>
    <t>077230</t>
  </si>
  <si>
    <t>V2D-649</t>
  </si>
  <si>
    <t>MAMANI CAYRA, JUAN JOSE</t>
  </si>
  <si>
    <t>071462</t>
  </si>
  <si>
    <t>Z1C-768</t>
  </si>
  <si>
    <t>TACOMA ALLPACCA, TEUDOLO</t>
  </si>
  <si>
    <t>PAREDES LAYME, DAMIANA</t>
  </si>
  <si>
    <t>LI JAUJA MONTES,LINDA</t>
  </si>
  <si>
    <t>MONTES QUISPE, VERONICA</t>
  </si>
  <si>
    <t>BENAVENTE ROMAÑA, REYNALDO</t>
  </si>
  <si>
    <t>CLAVIJO TEJADA, LUZ</t>
  </si>
  <si>
    <t>HUASPA HUISA, FRANCISCA</t>
  </si>
  <si>
    <t>CHARAGUA BUSTINZA, JULIAN CILBIANO</t>
  </si>
  <si>
    <t>CHIRE GONZALES, ELISA</t>
  </si>
  <si>
    <t>CONDORI LOCUMBER, JUSTINA</t>
  </si>
  <si>
    <t>FERNANDEZ CHILO, MIGUEL</t>
  </si>
  <si>
    <t>ZAMATA TAPIA, FIDEL</t>
  </si>
  <si>
    <t>CONDORI LOCUMBER, ROSA</t>
  </si>
  <si>
    <t>075079</t>
  </si>
  <si>
    <t>A5N-752</t>
  </si>
  <si>
    <t>MACEDO ALI, DONATO</t>
  </si>
  <si>
    <t>ESQUIVEL DE LAYME, TIMOTEA</t>
  </si>
  <si>
    <t>CONDORI YUCRA, ELISBAN</t>
  </si>
  <si>
    <t>085209</t>
  </si>
  <si>
    <t>V3V-060</t>
  </si>
  <si>
    <t>CRUZ VILLAVICENCIO, SLIN</t>
  </si>
  <si>
    <t>072663</t>
  </si>
  <si>
    <t>RH-3776</t>
  </si>
  <si>
    <t>CANO SALAS, CARMEN</t>
  </si>
  <si>
    <t>MEJIA CALDERON, MANUEL ENRIQUE</t>
  </si>
  <si>
    <t>SUAÑA HUARACHI, GEOVANA</t>
  </si>
  <si>
    <t>APONTE PACHECO, JOSE ANTONIO</t>
  </si>
  <si>
    <t>076483</t>
  </si>
  <si>
    <t>V2V-455</t>
  </si>
  <si>
    <t>RIVERO BARREDA,LUIS ALBERTO</t>
  </si>
  <si>
    <t>TEJADA RAMOS, RONALD ALONSO</t>
  </si>
  <si>
    <t>HIHUALLANCA CALLO, RAUL</t>
  </si>
  <si>
    <t>VERA VARGAS, JHON DAVID</t>
  </si>
  <si>
    <t>075980</t>
  </si>
  <si>
    <t>AGT-662</t>
  </si>
  <si>
    <t>PACHECO SULLCA, JAIME SERAFIN</t>
  </si>
  <si>
    <t>TEJADA TORRES, EDWIN OMAR</t>
  </si>
  <si>
    <t>CONDORI MACHUCA, MARIETTA</t>
  </si>
  <si>
    <t>075490</t>
  </si>
  <si>
    <t>X2H-609</t>
  </si>
  <si>
    <t>CARNERO ZUÑIGA, IVAN RONI</t>
  </si>
  <si>
    <t>ZUÑIGA RIVERA, LUZ</t>
  </si>
  <si>
    <t>079787</t>
  </si>
  <si>
    <t>FH-4393</t>
  </si>
  <si>
    <t>CHAMA VALCARCEL, WALTER ALEJANDRO</t>
  </si>
  <si>
    <t>080168</t>
  </si>
  <si>
    <t>H1B-739</t>
  </si>
  <si>
    <t>MEJIA GARCIA, MATILDE</t>
  </si>
  <si>
    <t>073038</t>
  </si>
  <si>
    <t>FH-2183</t>
  </si>
  <si>
    <t>VALLADARES CACERES, ANGELO</t>
  </si>
  <si>
    <t>076527</t>
  </si>
  <si>
    <t>V2V-309</t>
  </si>
  <si>
    <t>HUAYTA DURAN, GRICELDA</t>
  </si>
  <si>
    <t>084874</t>
  </si>
  <si>
    <t>V3O-151</t>
  </si>
  <si>
    <t>MAMANI PARISUAÑA, JUAN ALBERTO</t>
  </si>
  <si>
    <t>FLORES LOPINTA, RUBEN</t>
  </si>
  <si>
    <t>075485</t>
  </si>
  <si>
    <t>V1Y-435</t>
  </si>
  <si>
    <t>SULLA UMIRE, PAULINA</t>
  </si>
  <si>
    <t>072674</t>
  </si>
  <si>
    <t>EH-3411</t>
  </si>
  <si>
    <t>MONTESINOS MAMANI DE APAZA, ERMELINDA</t>
  </si>
  <si>
    <t>072638</t>
  </si>
  <si>
    <t>V3A-248</t>
  </si>
  <si>
    <t>JILAJA PARI, ROGELIO</t>
  </si>
  <si>
    <t>BOCANEGRA RODRIGUEZ, SHEYLA ELVIRA</t>
  </si>
  <si>
    <t>072670</t>
  </si>
  <si>
    <t>A8U-345</t>
  </si>
  <si>
    <t>CASTRO VARGAS, ANGELA</t>
  </si>
  <si>
    <t>080368</t>
  </si>
  <si>
    <t>V4S-116</t>
  </si>
  <si>
    <t>CHOQUEHUANCA PACORI, FLOR CANDELARIA</t>
  </si>
  <si>
    <t>087027</t>
  </si>
  <si>
    <t>Y1R-708</t>
  </si>
  <si>
    <t>GUTIERREZ MOJO, JUANA</t>
  </si>
  <si>
    <t>087387</t>
  </si>
  <si>
    <t>V5A-453</t>
  </si>
  <si>
    <t>CARDENAS HUAMANI, JESICA</t>
  </si>
  <si>
    <t>087921</t>
  </si>
  <si>
    <t>C5Y-463</t>
  </si>
  <si>
    <t>TICONA LAIME, MILAGROS</t>
  </si>
  <si>
    <t>071417</t>
  </si>
  <si>
    <t>V3C-676</t>
  </si>
  <si>
    <t>ROVI VILCARANA, MIGUEL RAUL</t>
  </si>
  <si>
    <t>073238</t>
  </si>
  <si>
    <t>EH-6179</t>
  </si>
  <si>
    <t>LLERENA EUSTAQUIO, DAVID</t>
  </si>
  <si>
    <t>070987</t>
  </si>
  <si>
    <t>UZ-1950</t>
  </si>
  <si>
    <t>MONTESINOS BRAVO, NICACIA</t>
  </si>
  <si>
    <t>074432</t>
  </si>
  <si>
    <t>B2T-116</t>
  </si>
  <si>
    <t>ARISACA CAYLLAGUA, HECTOR</t>
  </si>
  <si>
    <t>072304</t>
  </si>
  <si>
    <t>V3A-040</t>
  </si>
  <si>
    <t>RAMIREZ TENOS, RICKY</t>
  </si>
  <si>
    <t>080044</t>
  </si>
  <si>
    <t>V3A-319</t>
  </si>
  <si>
    <t>SOLANO CHIPANA, LIDIA</t>
  </si>
  <si>
    <t>077539</t>
  </si>
  <si>
    <t>A8P-522</t>
  </si>
  <si>
    <t>MONASTERIO AGUILAR, MARCIAL</t>
  </si>
  <si>
    <t>084069</t>
  </si>
  <si>
    <t>Z2Z-731</t>
  </si>
  <si>
    <t>PICHA SUPO, NELLY</t>
  </si>
  <si>
    <t>077211</t>
  </si>
  <si>
    <t>UK-3246</t>
  </si>
  <si>
    <t>DIAZ MEDINA, NORMA SOLEDAD</t>
  </si>
  <si>
    <t>078668</t>
  </si>
  <si>
    <t>V3Q-315</t>
  </si>
  <si>
    <t>BOLAÑOS POSTIGO, JAVIER</t>
  </si>
  <si>
    <t>074588</t>
  </si>
  <si>
    <t>FH-5585</t>
  </si>
  <si>
    <t>ZUÑIGA SALAZAR, DAYANIRA</t>
  </si>
  <si>
    <t>083098</t>
  </si>
  <si>
    <t>FH-6383</t>
  </si>
  <si>
    <t>OLANDA CCAMA, FERNANDA ROSA</t>
  </si>
  <si>
    <t>068402</t>
  </si>
  <si>
    <t>EH-5936</t>
  </si>
  <si>
    <t>MAMANI PAREDES, LUIS ALBERTO</t>
  </si>
  <si>
    <t>073514</t>
  </si>
  <si>
    <t>GOMEZ PEREZ, RONAL</t>
  </si>
  <si>
    <t>V2D-366</t>
  </si>
  <si>
    <t>CHAVEZ ALVAREZ, ANA VIVIANA</t>
  </si>
  <si>
    <t>078467</t>
  </si>
  <si>
    <t>TH-2158</t>
  </si>
  <si>
    <t>CONDORI QUISPE, HUBERT ROBERTO</t>
  </si>
  <si>
    <t>070967</t>
  </si>
  <si>
    <t>DH-8953</t>
  </si>
  <si>
    <t>TICONA CALCINA, SEBASTIAN</t>
  </si>
  <si>
    <t>CALCINA ALVAREZ, MARIA</t>
  </si>
  <si>
    <t>084391</t>
  </si>
  <si>
    <t>D1E-680</t>
  </si>
  <si>
    <t>ARONI QUISPE, MARY</t>
  </si>
  <si>
    <t>072141</t>
  </si>
  <si>
    <t>V3D-348</t>
  </si>
  <si>
    <t>UGARTE CALDERON, EDWARD</t>
  </si>
  <si>
    <t>CALDERON DE UGARTE, DANILA</t>
  </si>
  <si>
    <t>069532</t>
  </si>
  <si>
    <t>FH-2439</t>
  </si>
  <si>
    <t>ORIHUELA ZEA, LUIS</t>
  </si>
  <si>
    <t>077286</t>
  </si>
  <si>
    <t>B0R-730</t>
  </si>
  <si>
    <t>BEJAR VARGAS, FELIPE EMETERIO</t>
  </si>
  <si>
    <t>085593</t>
  </si>
  <si>
    <t>FH-5359</t>
  </si>
  <si>
    <t>ARCANA PAYEHUANCA DE TEJADA, AURELIA</t>
  </si>
  <si>
    <t>HUARCAPUMA CIRIACO, JORGE</t>
  </si>
  <si>
    <t>HUARCAPUMA CHUCTAYA, SANTOS</t>
  </si>
  <si>
    <t>HUARCAPUMA CIRIACO, JOSE</t>
  </si>
  <si>
    <t>HUAMANI HUILLCA, PROFERIA</t>
  </si>
  <si>
    <t>074139</t>
  </si>
  <si>
    <t>FH-4097</t>
  </si>
  <si>
    <t>GONZA GONZALES, MICHEL</t>
  </si>
  <si>
    <t>GONZA GONZALES, ELIZABETH</t>
  </si>
  <si>
    <t>077686</t>
  </si>
  <si>
    <t>FH-1565</t>
  </si>
  <si>
    <t>HUALLPA DE VARGAS, AURELIA</t>
  </si>
  <si>
    <t>YAÑEZ HUALLPA, KATERIN</t>
  </si>
  <si>
    <t>066734</t>
  </si>
  <si>
    <t>D3G-699</t>
  </si>
  <si>
    <t>CARI HUTURANCO, JUAN</t>
  </si>
  <si>
    <t>086800</t>
  </si>
  <si>
    <t>FH-5379</t>
  </si>
  <si>
    <t>GUZMAN MENDOZA DE INCAHUANACO, CARLA SONIA</t>
  </si>
  <si>
    <t>086341</t>
  </si>
  <si>
    <t>FH-6237</t>
  </si>
  <si>
    <t>ARPITA LAURA, MARIA LUCIA</t>
  </si>
  <si>
    <t>076147</t>
  </si>
  <si>
    <t>V2Z-119</t>
  </si>
  <si>
    <t>OLIVARES QUISPE, DAVID ESTEBAN</t>
  </si>
  <si>
    <t>LAYME CALCINA, JULIO ALBERTO</t>
  </si>
  <si>
    <t>CALLA CALLA, GERONIMO</t>
  </si>
  <si>
    <t>CALLA CCALLA, MAURICIA</t>
  </si>
  <si>
    <t>MANZANARES TEAGUA, RAQUEL</t>
  </si>
  <si>
    <t>LAYME CALLA, CECILIA NATANIEL</t>
  </si>
  <si>
    <t>CALLA MAMANI, JULIA</t>
  </si>
  <si>
    <t>084291</t>
  </si>
  <si>
    <t>V1Y-754</t>
  </si>
  <si>
    <t>MAMANI QUICO, ALEX</t>
  </si>
  <si>
    <t>079745</t>
  </si>
  <si>
    <t>V1G-427</t>
  </si>
  <si>
    <t>CANAZA VILCA, DILVER</t>
  </si>
  <si>
    <t>086650</t>
  </si>
  <si>
    <t>Z0O-960</t>
  </si>
  <si>
    <t>SUCASACA AMBROSIO, TIMOTEO</t>
  </si>
  <si>
    <t>CHURATA QUISPE, AQUILINO</t>
  </si>
  <si>
    <t>MORE MARCHENTA, DAVID</t>
  </si>
  <si>
    <t>MERCADO CRUZ NATALY</t>
  </si>
  <si>
    <t>CHULLANQUI CASCO, MARCOS</t>
  </si>
  <si>
    <t>LIMA ROMERO, MARIA</t>
  </si>
  <si>
    <t>QUISPE ZEBALLOS, FRANCISCO</t>
  </si>
  <si>
    <t>PAUCA DE COAQUIRA</t>
  </si>
  <si>
    <t>ZUNI CHAGUA, ASCENCIO</t>
  </si>
  <si>
    <t>PARUWAYO CONDORI, PEDRO</t>
  </si>
  <si>
    <t>ENRIQUEZ GARCIA, JOSE EMILIO</t>
  </si>
  <si>
    <t>PEREZ DUEÑAS, INES</t>
  </si>
  <si>
    <t>RAMOS CHAMBI,ANA</t>
  </si>
  <si>
    <t>085618</t>
  </si>
  <si>
    <t>V4V-637</t>
  </si>
  <si>
    <t>MIRANDA QUISPE, VICTOR GONZALO</t>
  </si>
  <si>
    <t>079374</t>
  </si>
  <si>
    <t>CIU-306</t>
  </si>
  <si>
    <t>PEÑA TICONA, GERAL</t>
  </si>
  <si>
    <t>ITUCAYASI QUISPE, TEODORA</t>
  </si>
  <si>
    <t>083703</t>
  </si>
  <si>
    <t>V3P-672</t>
  </si>
  <si>
    <t>GUTIERREZ ZUÑIGA, JORGE</t>
  </si>
  <si>
    <t>077808</t>
  </si>
  <si>
    <t>V3D-074</t>
  </si>
  <si>
    <t>BEJAR DE LAZO DE LA VEGA MARIA SALOME</t>
  </si>
  <si>
    <t>076849</t>
  </si>
  <si>
    <t>V1A-249</t>
  </si>
  <si>
    <t>CORRALES MAMANI, HECTOR</t>
  </si>
  <si>
    <t>077055</t>
  </si>
  <si>
    <t>H1A-349</t>
  </si>
  <si>
    <t>CAYRO CHEJE, AMALIA</t>
  </si>
  <si>
    <t>079577</t>
  </si>
  <si>
    <t>V2J-444</t>
  </si>
  <si>
    <t>GUTIERREZ QUINTANILLA, JESUS NATALIO</t>
  </si>
  <si>
    <t>078866</t>
  </si>
  <si>
    <t>V3L-064</t>
  </si>
  <si>
    <t>BARREDA PACHECO, ALONSO</t>
  </si>
  <si>
    <t>075438</t>
  </si>
  <si>
    <t>V1Y-144</t>
  </si>
  <si>
    <t>CANAZA QUISPE, TIMOTEA</t>
  </si>
  <si>
    <t>075906</t>
  </si>
  <si>
    <t>V2H-286</t>
  </si>
  <si>
    <t>ROBLES LEONARDO, MARIA</t>
  </si>
  <si>
    <t>085366</t>
  </si>
  <si>
    <t>B3Z-108</t>
  </si>
  <si>
    <t>CORDOVA DELGADO , MANUELITA</t>
  </si>
  <si>
    <t>088469</t>
  </si>
  <si>
    <t>V1-7052</t>
  </si>
  <si>
    <t>MAMANI LEON, PAOLA ELENA</t>
  </si>
  <si>
    <t>PEDREGAL-AREQUIPA</t>
  </si>
  <si>
    <t>077638</t>
  </si>
  <si>
    <t>V4N-041</t>
  </si>
  <si>
    <t xml:space="preserve">RODRIGUEZ NEYRA, JEAN </t>
  </si>
  <si>
    <t>075615</t>
  </si>
  <si>
    <t>V4K-428</t>
  </si>
  <si>
    <t>ROSADO LANCHIPA, CARLOS</t>
  </si>
  <si>
    <t>GUILLEN CHUQUITAYPE, MARITZA</t>
  </si>
  <si>
    <t>PEREZ QUISPE, JAMES</t>
  </si>
  <si>
    <t>NUÑEZ VILCA, EDWIN</t>
  </si>
  <si>
    <t>AMESQUITA CHOQUE, LUIS</t>
  </si>
  <si>
    <t>072227</t>
  </si>
  <si>
    <t>CH-9856</t>
  </si>
  <si>
    <t>MENDOZA NUNEZ, MAX</t>
  </si>
  <si>
    <t>MENDOZA CUNO, MELANY ALEJANDRA</t>
  </si>
  <si>
    <t>CHOQUEHUAYTA PEÑA , MARIO</t>
  </si>
  <si>
    <t>MENDOZA CUNO, RAYZA JESAMIN</t>
  </si>
  <si>
    <t>MENDOZA MACHACA, CESAR</t>
  </si>
  <si>
    <t>079382</t>
  </si>
  <si>
    <t>V3Q-021</t>
  </si>
  <si>
    <t>CONDEÑA GAMARRA, WILLI SILVERIA</t>
  </si>
  <si>
    <t>077500</t>
  </si>
  <si>
    <t>V4L-559</t>
  </si>
  <si>
    <t>RODRIGUEZ SULLCA, MAXIMO</t>
  </si>
  <si>
    <t>RUIZ CASTILLO, JORGE LEONIDAS</t>
  </si>
  <si>
    <t>DELGADO MIRANDA, ADELTA NEREYDA</t>
  </si>
  <si>
    <t>RUIZ DELGADO, MATIAS ALONSO</t>
  </si>
  <si>
    <t>077990</t>
  </si>
  <si>
    <t>V3D-154</t>
  </si>
  <si>
    <t>ZEVALLOS CHARCA, KIMBERLY</t>
  </si>
  <si>
    <t xml:space="preserve">CRUZ CUADROS, PAOLO </t>
  </si>
  <si>
    <t>075884</t>
  </si>
  <si>
    <t>C8T-574</t>
  </si>
  <si>
    <t>CHALCO RODRIGUEZ, ROSA DEL CARMEN</t>
  </si>
  <si>
    <t>077524</t>
  </si>
  <si>
    <t>Y1H-287</t>
  </si>
  <si>
    <t>UNSUETA SERRANO, FRANK DEIVIS</t>
  </si>
  <si>
    <t>CHALCO FLORES, ALBERTO</t>
  </si>
  <si>
    <t>077756</t>
  </si>
  <si>
    <t>V3B-016</t>
  </si>
  <si>
    <t>RUEDA DEL CARPIO, ITALO VALENTINO</t>
  </si>
  <si>
    <t>076468</t>
  </si>
  <si>
    <t>V4K-442</t>
  </si>
  <si>
    <t>CARREON FLORES, EDITH MARYORI</t>
  </si>
  <si>
    <t>071269</t>
  </si>
  <si>
    <t>V2X-187</t>
  </si>
  <si>
    <t>JACHO ADCO, VILMA INES</t>
  </si>
  <si>
    <t>JACHO ADCO, OLGA NIEVES</t>
  </si>
  <si>
    <t>SOTO CHULLO, MARTA</t>
  </si>
  <si>
    <t>CABRERA SOTO, ALEX ISMAEL</t>
  </si>
  <si>
    <t>CABRERA JACHO, MARIA ISABEL</t>
  </si>
  <si>
    <t>CABRERA JACHO, MARY LUZ</t>
  </si>
  <si>
    <t>070118</t>
  </si>
  <si>
    <t>V3Z-591</t>
  </si>
  <si>
    <t>GRANADOS CUENTAS, HUGO EDGAR</t>
  </si>
  <si>
    <t>YAURI QUISPE, LUCERO</t>
  </si>
  <si>
    <t>QUISPE QUISPE, ANGELA JESSICA</t>
  </si>
  <si>
    <t>087869</t>
  </si>
  <si>
    <t>FH-1525</t>
  </si>
  <si>
    <t>FLORES FLORES, INGRID</t>
  </si>
  <si>
    <t>PORTUGAL FLORES, NICK</t>
  </si>
  <si>
    <t>PEÑA CJURO, KEVIN ROY</t>
  </si>
  <si>
    <t>083786</t>
  </si>
  <si>
    <t>V4B-530</t>
  </si>
  <si>
    <t>QUISPE QUISPE, IVAN GREGORIO</t>
  </si>
  <si>
    <t>080829</t>
  </si>
  <si>
    <t>V2T-647</t>
  </si>
  <si>
    <t>SIVANA VARGAS, EXALTACION</t>
  </si>
  <si>
    <t>072627</t>
  </si>
  <si>
    <t>FH-2817</t>
  </si>
  <si>
    <t>VARGAS MAMANI, JESSICA</t>
  </si>
  <si>
    <t>074514</t>
  </si>
  <si>
    <t>FH-5282</t>
  </si>
  <si>
    <t>VALERIANA SUCAPUCA, BERTA DORA</t>
  </si>
  <si>
    <t>074309</t>
  </si>
  <si>
    <t>EH-1802</t>
  </si>
  <si>
    <t>CONDORI SUPO, LORENZO</t>
  </si>
  <si>
    <t>071278</t>
  </si>
  <si>
    <t>FH-3403</t>
  </si>
  <si>
    <t>TACURI PACO, VILMA</t>
  </si>
  <si>
    <t>HUARCA PUMA, NELLY</t>
  </si>
  <si>
    <t>PUMA ISONSA, VICTORIA</t>
  </si>
  <si>
    <t>084290</t>
  </si>
  <si>
    <t>UO-4487</t>
  </si>
  <si>
    <t>ARAPA OVIEDO, JUAN PABLO</t>
  </si>
  <si>
    <t>070027</t>
  </si>
  <si>
    <t>V2K-640</t>
  </si>
  <si>
    <t>SURCO CHARCA, ANGEL</t>
  </si>
  <si>
    <t>087321</t>
  </si>
  <si>
    <t>B4E-063</t>
  </si>
  <si>
    <t>MAMANI POCO, JEFERSON SANTIAGO</t>
  </si>
  <si>
    <t>080811</t>
  </si>
  <si>
    <t>V2F-039</t>
  </si>
  <si>
    <t>LAURA SANCHEZ, MOISES</t>
  </si>
  <si>
    <t>062575</t>
  </si>
  <si>
    <t>EH-5732</t>
  </si>
  <si>
    <t>PAJA JAÑO, YOBANA DELIA</t>
  </si>
  <si>
    <t>079200</t>
  </si>
  <si>
    <t>TH-2401</t>
  </si>
  <si>
    <t>ALARCON HUALPA, EDISON CLAUDIO</t>
  </si>
  <si>
    <t>080065</t>
  </si>
  <si>
    <t>CONDORI ROJAS, LUZ MIRIAN</t>
  </si>
  <si>
    <t>078013</t>
  </si>
  <si>
    <t>EH-1483</t>
  </si>
  <si>
    <t>CONDORI CCASO, JOSE LUIS</t>
  </si>
  <si>
    <t>067926</t>
  </si>
  <si>
    <t>FH-1759</t>
  </si>
  <si>
    <t>SALCEDO OCHOA, BERTHA</t>
  </si>
  <si>
    <t>078422</t>
  </si>
  <si>
    <t>FH-1030</t>
  </si>
  <si>
    <t>FIGUEROA GALINDO, DAVID ASCENCIO</t>
  </si>
  <si>
    <t>071988</t>
  </si>
  <si>
    <t>V1T-172</t>
  </si>
  <si>
    <t>CONTRERAS CHOQUEHUANCA, INES</t>
  </si>
  <si>
    <t>072657</t>
  </si>
  <si>
    <t>V2X-070</t>
  </si>
  <si>
    <t>APAZA NIEBLES, FELIPA</t>
  </si>
  <si>
    <t>075461</t>
  </si>
  <si>
    <t>TH-3198</t>
  </si>
  <si>
    <t>ADCO FLORES, CARMEN</t>
  </si>
  <si>
    <t>085992</t>
  </si>
  <si>
    <t>A3S-032</t>
  </si>
  <si>
    <t>HANCCO CABRERA, ROSALIA</t>
  </si>
  <si>
    <t>073410</t>
  </si>
  <si>
    <t>DH-5719</t>
  </si>
  <si>
    <t>VASQUEZ MAMANI, CRISTIAN CESAR</t>
  </si>
  <si>
    <t>078388</t>
  </si>
  <si>
    <t>UH-4479</t>
  </si>
  <si>
    <t>BARRIOS ABARCA, FRANCISCA</t>
  </si>
  <si>
    <t>079208</t>
  </si>
  <si>
    <t>V3L-442</t>
  </si>
  <si>
    <t>HUAMANI SUAREZ, GONZALO</t>
  </si>
  <si>
    <t>084873</t>
  </si>
  <si>
    <t>FH-4954</t>
  </si>
  <si>
    <t>HUAMANI MOTTE, ALEX GOYO</t>
  </si>
  <si>
    <t>085239</t>
  </si>
  <si>
    <t>V2E-000</t>
  </si>
  <si>
    <t>COJOMA YUCRA, DARIENS</t>
  </si>
  <si>
    <t>083689</t>
  </si>
  <si>
    <t>V1B-484</t>
  </si>
  <si>
    <t>MANCO GERMAN, LAURA LILA</t>
  </si>
  <si>
    <t>RAMOS CHAHUARA, GUIDO ESTEBAN</t>
  </si>
  <si>
    <t>071642</t>
  </si>
  <si>
    <t>FH-5372</t>
  </si>
  <si>
    <t>APAZA MENDOZA, OSCAR</t>
  </si>
  <si>
    <t>079504</t>
  </si>
  <si>
    <t>A9J-760</t>
  </si>
  <si>
    <t>MAMANI MENDOZA, ANCELMO</t>
  </si>
  <si>
    <t>070680</t>
  </si>
  <si>
    <t>V2X-096</t>
  </si>
  <si>
    <t>BEGAZO QUISPE, MISAEL</t>
  </si>
  <si>
    <t>BEGAZO QUISPE, ARIANA</t>
  </si>
  <si>
    <t>088661</t>
  </si>
  <si>
    <t>V1Q-738</t>
  </si>
  <si>
    <t>MEDINA MINGA, GEDIA CRISTINA</t>
  </si>
  <si>
    <t>079683</t>
  </si>
  <si>
    <t>CATASI AYAQUE, WILLIAN</t>
  </si>
  <si>
    <t>CUBA GONZALES, CESAR</t>
  </si>
  <si>
    <t>073210</t>
  </si>
  <si>
    <t>EH-4857</t>
  </si>
  <si>
    <t>CARI ARPI, MARLO</t>
  </si>
  <si>
    <t>080366</t>
  </si>
  <si>
    <t>V2H-624</t>
  </si>
  <si>
    <t>CARRASCO CORNEJO, SHIRLEY</t>
  </si>
  <si>
    <t>070572</t>
  </si>
  <si>
    <t>V3C-668</t>
  </si>
  <si>
    <t>GUEVARA RIMACHE, MARCELINO</t>
  </si>
  <si>
    <t>088306</t>
  </si>
  <si>
    <t>D1D-552</t>
  </si>
  <si>
    <t>LUQUE LAGOS, AQUILES</t>
  </si>
  <si>
    <t>HUAMANI PARIAPAZA, SANTOS OSCAR</t>
  </si>
  <si>
    <t>076650</t>
  </si>
  <si>
    <t>IQ-8977</t>
  </si>
  <si>
    <t>VASQUEZ RONDON, ALFREDO WILBERT</t>
  </si>
  <si>
    <t>071770</t>
  </si>
  <si>
    <t>Z4H-718</t>
  </si>
  <si>
    <t>CARREON ESCOBEDO, FROYLAN</t>
  </si>
  <si>
    <t>075496</t>
  </si>
  <si>
    <t>EH-7185</t>
  </si>
  <si>
    <t>ARENAS CALLA, PEDRO MANUEL</t>
  </si>
  <si>
    <t>075375</t>
  </si>
  <si>
    <t>FH-6445</t>
  </si>
  <si>
    <t>CHACON POSTIGO, DORIS</t>
  </si>
  <si>
    <t>072807</t>
  </si>
  <si>
    <t>BGO-811</t>
  </si>
  <si>
    <t>ROMERO HUANCA, EDWIN</t>
  </si>
  <si>
    <t>ALVAREZ CALLO, GLADIS</t>
  </si>
  <si>
    <t>MAMANI ALVAREZ, EVELIN JAZMIN</t>
  </si>
  <si>
    <t>MARROQUIN ALVAREZ, FERNANDO</t>
  </si>
  <si>
    <t>ALVAREZ CALLO, MARINA</t>
  </si>
  <si>
    <t>TINTAYA ALVAREZ, HILARI</t>
  </si>
  <si>
    <t>073386</t>
  </si>
  <si>
    <t>DH-7643</t>
  </si>
  <si>
    <t>MAQUE HANCCO, CLAUDIA CLEOFE</t>
  </si>
  <si>
    <t>SALAZAR MAQUE, FERNANDO</t>
  </si>
  <si>
    <t>CALDERON ALVAREZ, PEDRO</t>
  </si>
  <si>
    <t>068887</t>
  </si>
  <si>
    <t>FH-4570</t>
  </si>
  <si>
    <t>COLLADO MEDINA, ALBERTO MARCELINO</t>
  </si>
  <si>
    <t>076499</t>
  </si>
  <si>
    <t>V2C-628</t>
  </si>
  <si>
    <t>QUISPE QUISPE, JOSE DANIEL</t>
  </si>
  <si>
    <t>075856</t>
  </si>
  <si>
    <t>V2Z-627</t>
  </si>
  <si>
    <t>CALDERON PERALTA, ANDREA LUZ</t>
  </si>
  <si>
    <t>080163</t>
  </si>
  <si>
    <t>V2X-735</t>
  </si>
  <si>
    <t>APAZA LUQUE, MARILUNA</t>
  </si>
  <si>
    <t>088945</t>
  </si>
  <si>
    <t>Y1V-849</t>
  </si>
  <si>
    <t>CONDORI CHILO, PATRICIA ESTEFANIA</t>
  </si>
  <si>
    <t>080058</t>
  </si>
  <si>
    <t>FH-5665</t>
  </si>
  <si>
    <t>ROJAS NINA,  BRAULIO</t>
  </si>
  <si>
    <t>BACA GUZMAN, BLADIMIR ALFREDO</t>
  </si>
  <si>
    <t>086662</t>
  </si>
  <si>
    <t>V3H-043</t>
  </si>
  <si>
    <t>CONTRERAS HUAMANI, EDWIN</t>
  </si>
  <si>
    <t>075107</t>
  </si>
  <si>
    <t>FH-5560</t>
  </si>
  <si>
    <t>CABELLO HUERTAS, ROBERTO</t>
  </si>
  <si>
    <t>084862</t>
  </si>
  <si>
    <t>A9G-136</t>
  </si>
  <si>
    <t>CHOQUEHUANCA QUISPE, MOISES</t>
  </si>
  <si>
    <t>088970</t>
  </si>
  <si>
    <t>V2M-668</t>
  </si>
  <si>
    <t>TICONA PEREA, ANA BERTA</t>
  </si>
  <si>
    <t>073684</t>
  </si>
  <si>
    <t>V3K-694</t>
  </si>
  <si>
    <t>ARIAS RAMIREZ, CESAR</t>
  </si>
  <si>
    <t>DEL CARPIO CORNEJO, HENRY OSWALDO</t>
  </si>
  <si>
    <t>CACERES HUAMANI, ROLANDO</t>
  </si>
  <si>
    <t>074790</t>
  </si>
  <si>
    <t>FH-4916</t>
  </si>
  <si>
    <t>GUTIERREZ TITO, TORIBIA</t>
  </si>
  <si>
    <t>088569</t>
  </si>
  <si>
    <t>V2A-698</t>
  </si>
  <si>
    <t>PHILCO PHILCO, MANUEL</t>
  </si>
  <si>
    <t>073027</t>
  </si>
  <si>
    <t>V2P-635</t>
  </si>
  <si>
    <t>CHULLO HUILLCA, SANTIAGO JOAQUIN</t>
  </si>
  <si>
    <t>087909</t>
  </si>
  <si>
    <t>V1I-244</t>
  </si>
  <si>
    <t>PUMA SANCA, NARCISA HERMELINDA</t>
  </si>
  <si>
    <t>MAMANI GERONIMO, RUFINO FELEX</t>
  </si>
  <si>
    <t>087584</t>
  </si>
  <si>
    <t>V3G-463</t>
  </si>
  <si>
    <t>CHIRE PAREDES, GLADYS</t>
  </si>
  <si>
    <t>076898</t>
  </si>
  <si>
    <t>EH-7972</t>
  </si>
  <si>
    <t>MAYHUA COAQUIRA, FELICITAS</t>
  </si>
  <si>
    <t>084841</t>
  </si>
  <si>
    <t>V3U-569</t>
  </si>
  <si>
    <t>ESCALANTE MENDOZA, YARITZA</t>
  </si>
  <si>
    <t>073553</t>
  </si>
  <si>
    <t>V3J-218</t>
  </si>
  <si>
    <t>PINEDA PINEDA, ANTONIO ERNESTO</t>
  </si>
  <si>
    <t>068417</t>
  </si>
  <si>
    <t>V3X-343</t>
  </si>
  <si>
    <t>HUANACO CCALLO, MARIA ANDREA</t>
  </si>
  <si>
    <t>079176</t>
  </si>
  <si>
    <t>V1I-106</t>
  </si>
  <si>
    <t>CHILQUE CHOQUEHUANCA, CRISTIAN</t>
  </si>
  <si>
    <t>CHILQUE CHOQUEHUANCA, KATERINE</t>
  </si>
  <si>
    <t>084289</t>
  </si>
  <si>
    <t>B1Z-744</t>
  </si>
  <si>
    <t>NINA CHAVEZ, JUSTINO</t>
  </si>
  <si>
    <t>073403</t>
  </si>
  <si>
    <t>EH-8107</t>
  </si>
  <si>
    <t>TICONA CALCINA, ABIGAIL ESTHER</t>
  </si>
  <si>
    <t>LAVADO TICONA, FREDY JOSUE</t>
  </si>
  <si>
    <t>084485</t>
  </si>
  <si>
    <t>V4W-163</t>
  </si>
  <si>
    <t>CONDORI CONDORI, STANISLAO</t>
  </si>
  <si>
    <t>086786</t>
  </si>
  <si>
    <t>C9I-153</t>
  </si>
  <si>
    <t>SOLIS MESTAS, BERNARDINO</t>
  </si>
  <si>
    <t>064866</t>
  </si>
  <si>
    <t>D1V-693</t>
  </si>
  <si>
    <t>PALOMINO HUISKA, PILAR</t>
  </si>
  <si>
    <t>LUQUE QUITO, MIGUEL ANGEL</t>
  </si>
  <si>
    <t>070843</t>
  </si>
  <si>
    <t>FH-2459</t>
  </si>
  <si>
    <t>SOMOS DELGADO, ALEXANDRO JESUS</t>
  </si>
  <si>
    <t>ZAVALA JULI, JULIA</t>
  </si>
  <si>
    <t>064854</t>
  </si>
  <si>
    <t>DH9-738</t>
  </si>
  <si>
    <t>QUISPE MAMANI, PATRICIO</t>
  </si>
  <si>
    <t>075917</t>
  </si>
  <si>
    <t>V1D-487</t>
  </si>
  <si>
    <t>PORTUGAL VILLANUEVA,  DANTE JAVIER</t>
  </si>
  <si>
    <t>V1E-733</t>
  </si>
  <si>
    <t>VALDEZ CARRASCO, LUCIO</t>
  </si>
  <si>
    <t>MANRIQUE VILCA, ANA MARTA</t>
  </si>
  <si>
    <t>FH-5498</t>
  </si>
  <si>
    <t>RODRIGUEZ GUEVARA, JULIA</t>
  </si>
  <si>
    <t>CATATA MAMANI, GLENY MILAGROS</t>
  </si>
  <si>
    <t>ALCAHUAMAN PAUCAR, CIRIACO</t>
  </si>
  <si>
    <t>V4W-404</t>
  </si>
  <si>
    <t>CARPIO CENCIA, KATHERINE</t>
  </si>
  <si>
    <t>V1L-324</t>
  </si>
  <si>
    <t>ARENA OXA, LUIS SANTIAGO</t>
  </si>
  <si>
    <t>EH-6659</t>
  </si>
  <si>
    <t>MERMA TAIPE, RUDI</t>
  </si>
  <si>
    <t>EH-7846</t>
  </si>
  <si>
    <t>BENDITA SUCASAIRE, ALVARO</t>
  </si>
  <si>
    <t>V3V-613</t>
  </si>
  <si>
    <t>ARESTEGUI ZUÑIGA, EVALUZ</t>
  </si>
  <si>
    <t>TICLLAHUANACO CENTENO, BETTY</t>
  </si>
  <si>
    <t>V3B-429</t>
  </si>
  <si>
    <t>HUAMANI ANCCO, KELLY</t>
  </si>
  <si>
    <t>CASA CAHUA, HUGO</t>
  </si>
  <si>
    <t>JORDAN CHILO, ISABEL</t>
  </si>
  <si>
    <t>CCARI  VDA.DE CARI , BIBIANA</t>
  </si>
  <si>
    <t>LIMA PARICELA WILFREDO JHON</t>
  </si>
  <si>
    <t>RUEDA FLORES, GILBER</t>
  </si>
  <si>
    <t>CERVANTES TEJADA CINTHYA</t>
  </si>
  <si>
    <t>V5E-477</t>
  </si>
  <si>
    <t>CH-7965</t>
  </si>
  <si>
    <t>V1M-743</t>
  </si>
  <si>
    <t>V2F-387</t>
  </si>
  <si>
    <t>V4O-092</t>
  </si>
  <si>
    <t>V4F-582</t>
  </si>
  <si>
    <t>B4W-122</t>
  </si>
  <si>
    <t>HO-2622</t>
  </si>
  <si>
    <t>V3S-204</t>
  </si>
  <si>
    <t>EH-8161</t>
  </si>
  <si>
    <t>F2P-755</t>
  </si>
  <si>
    <t>C0F-679</t>
  </si>
  <si>
    <t>V3F-033</t>
  </si>
  <si>
    <t>V3W-575</t>
  </si>
  <si>
    <t>V1U-205</t>
  </si>
  <si>
    <t>Z1G-707</t>
  </si>
  <si>
    <t>A8Z-337</t>
  </si>
  <si>
    <t>TH-3651 (V4Z-141)</t>
  </si>
  <si>
    <t>V1O-378</t>
  </si>
  <si>
    <t>C8W-613</t>
  </si>
  <si>
    <t>Z2M-022</t>
  </si>
  <si>
    <t>Z2Y-205</t>
  </si>
  <si>
    <t>V3K-161</t>
  </si>
  <si>
    <t>V5P-907</t>
  </si>
  <si>
    <t>MAMANI ARAPA RUFINO</t>
  </si>
  <si>
    <t>HUAMANI CURAHUA MANUEL</t>
  </si>
  <si>
    <t>ORTIZ CHIRINOS XIOMARA</t>
  </si>
  <si>
    <t>RIVERA VALDIVIA HUGO</t>
  </si>
  <si>
    <t>MAMANI PAREDES JOSE</t>
  </si>
  <si>
    <t>ROQUE OCHOA YULIANA</t>
  </si>
  <si>
    <t>LOPEZ MANCHEGO JOSE CARLOS</t>
  </si>
  <si>
    <t>QUIÑONEZ JARA JOSE LUIS</t>
  </si>
  <si>
    <t>CARRION ALVAREZ MATTYHU ENRIQUE</t>
  </si>
  <si>
    <t>USAQUI CONTRERAS ISIDORA</t>
  </si>
  <si>
    <t>CUEVAS CACERES FRANK DAVIS</t>
  </si>
  <si>
    <t>MURIEL MEDINA YISELA MILUSCA</t>
  </si>
  <si>
    <t>MEJIA ALDAZABAL CAMILA</t>
  </si>
  <si>
    <t>MEJIA ALDAZABAL FERNANDO</t>
  </si>
  <si>
    <t>PEÑA HUACHACA WARTON</t>
  </si>
  <si>
    <t>KGORIMAYA MAYTA YHONATAN DANIEL</t>
  </si>
  <si>
    <t>LUNA ZAPATA TECLA</t>
  </si>
  <si>
    <t>ZEBALLOS FUENTES JHOMIRIA</t>
  </si>
  <si>
    <t>ZEBALLOS FUENTES JORGE TIAGO</t>
  </si>
  <si>
    <t>FUENTES OLAZABAL JESSICA NATIVIDAD</t>
  </si>
  <si>
    <t>ALVAREZ PINTO ALFREDO</t>
  </si>
  <si>
    <t>MANRIQUE MOGROVEJO VICTOR SAMUEL</t>
  </si>
  <si>
    <t>LUPINTA YANA JUSTINA VALENTINA</t>
  </si>
  <si>
    <t>QUISPE QUISPE JAIR ALEXANDER</t>
  </si>
  <si>
    <t>096092</t>
  </si>
  <si>
    <t>086417</t>
  </si>
  <si>
    <t>090986</t>
  </si>
  <si>
    <t>098271</t>
  </si>
  <si>
    <t>088547</t>
  </si>
  <si>
    <t>088494</t>
  </si>
  <si>
    <t>096020</t>
  </si>
  <si>
    <t>086651</t>
  </si>
  <si>
    <t>100527</t>
  </si>
  <si>
    <t>084165</t>
  </si>
  <si>
    <t>086209</t>
  </si>
  <si>
    <t>097822</t>
  </si>
  <si>
    <t>095441</t>
  </si>
  <si>
    <t>100207</t>
  </si>
  <si>
    <t>085733</t>
  </si>
  <si>
    <t>090130</t>
  </si>
  <si>
    <t>091146</t>
  </si>
  <si>
    <t>083193</t>
  </si>
  <si>
    <t>088287</t>
  </si>
  <si>
    <t>094071</t>
  </si>
  <si>
    <t>097087</t>
  </si>
  <si>
    <t>098906</t>
  </si>
  <si>
    <t>093657</t>
  </si>
  <si>
    <t>100358</t>
  </si>
  <si>
    <t>086262</t>
  </si>
  <si>
    <t>NUÑEZ SUCASACA, VICTOR</t>
  </si>
  <si>
    <t>AMBROSIO CRUZ, ZINA ANYELY</t>
  </si>
  <si>
    <t>094565</t>
  </si>
  <si>
    <t>074510</t>
  </si>
  <si>
    <t>097236</t>
  </si>
  <si>
    <t>090266</t>
  </si>
  <si>
    <t>098453</t>
  </si>
  <si>
    <t>091454</t>
  </si>
  <si>
    <t>092381</t>
  </si>
  <si>
    <t>085213</t>
  </si>
  <si>
    <t>099349</t>
  </si>
  <si>
    <t>098958</t>
  </si>
  <si>
    <t>087083</t>
  </si>
  <si>
    <t>083507</t>
  </si>
  <si>
    <t>095875</t>
  </si>
  <si>
    <t>087802</t>
  </si>
  <si>
    <t>084951</t>
  </si>
  <si>
    <t>090916</t>
  </si>
  <si>
    <t>080081</t>
  </si>
  <si>
    <t>091232</t>
  </si>
  <si>
    <t>V3B-038</t>
  </si>
  <si>
    <t>V2D-259</t>
  </si>
  <si>
    <t>V5A-423</t>
  </si>
  <si>
    <t>V4O-301</t>
  </si>
  <si>
    <t>A0M-741</t>
  </si>
  <si>
    <t>DGS-625</t>
  </si>
  <si>
    <t>V2J-247</t>
  </si>
  <si>
    <t>V1Q-462</t>
  </si>
  <si>
    <t>V6A-198</t>
  </si>
  <si>
    <t>Z1H-734</t>
  </si>
  <si>
    <t>V2D-575</t>
  </si>
  <si>
    <t>V5P-836</t>
  </si>
  <si>
    <t>V3B-141</t>
  </si>
  <si>
    <t>V1W-620</t>
  </si>
  <si>
    <t>A3V-770</t>
  </si>
  <si>
    <t>V4R-527</t>
  </si>
  <si>
    <t>BIR-156</t>
  </si>
  <si>
    <t>TERAN TELLO ROSARIO DE LOS ANGELES</t>
  </si>
  <si>
    <t>TICA CONDORI OSCAR</t>
  </si>
  <si>
    <t>SAENZ CHAVEZ LUIS</t>
  </si>
  <si>
    <t>CUBA CHUA KAREN ELIZABETH</t>
  </si>
  <si>
    <t>CASTRO MUÑIZ FERNANDO</t>
  </si>
  <si>
    <t>NAVARRO QUISPE ERICK ALEXANDER</t>
  </si>
  <si>
    <t>POLAR SANCHEZ BALTAZAR LUZMILA</t>
  </si>
  <si>
    <t>ALVAREZ CALLE JULIO C.</t>
  </si>
  <si>
    <t>PUERTAS CUADROS CARLOS</t>
  </si>
  <si>
    <t>ALVAREZ ANDRADE LUIS</t>
  </si>
  <si>
    <t>CHALCO CUBA LUIS</t>
  </si>
  <si>
    <t>PEREZ CARPIO JUAN</t>
  </si>
  <si>
    <t>ARAGON CONDE KATHERINE</t>
  </si>
  <si>
    <t>SONAPO CORONADO BETO ESPIT</t>
  </si>
  <si>
    <t>UYEN ALVAREZ JUAN LARCEN</t>
  </si>
  <si>
    <t>ZAPATA DOMINGUEZ MARIO</t>
  </si>
  <si>
    <t>CONDORI TAPARACO GREGORIO</t>
  </si>
  <si>
    <t>CHILO SUPO RUTH</t>
  </si>
  <si>
    <t>JUÑO CHAUCA ESTHER</t>
  </si>
  <si>
    <t>QUENAYA FLORES JULIO CESAR</t>
  </si>
  <si>
    <t>QUISPE SALCEDO RUT BETILIANA</t>
  </si>
  <si>
    <t>PERCCA CONDORI EDUARDO GUIDO</t>
  </si>
  <si>
    <t>101737</t>
  </si>
  <si>
    <t>088673</t>
  </si>
  <si>
    <t>085873</t>
  </si>
  <si>
    <t>083456</t>
  </si>
  <si>
    <t>V6A-219</t>
  </si>
  <si>
    <t>V2S-400</t>
  </si>
  <si>
    <t>T1B-707</t>
  </si>
  <si>
    <t>C2I-666</t>
  </si>
  <si>
    <t>PEREZ Y CARPIO JUAN CANCIO</t>
  </si>
  <si>
    <t>MEJIA CONDORI SOLANSH</t>
  </si>
  <si>
    <t>MAMANI OCHOCHOQUE LUZMILA</t>
  </si>
  <si>
    <t>21/06/213</t>
  </si>
  <si>
    <t>CHAVEZ LAJO, FELI</t>
  </si>
  <si>
    <t>TAMAYO QUIQUEA JUAN</t>
  </si>
  <si>
    <t>098532</t>
  </si>
  <si>
    <t>084790</t>
  </si>
  <si>
    <t>099621</t>
  </si>
  <si>
    <t>095302</t>
  </si>
  <si>
    <t>094872</t>
  </si>
  <si>
    <t>092826</t>
  </si>
  <si>
    <t>100863</t>
  </si>
  <si>
    <t>085681</t>
  </si>
  <si>
    <t>052719</t>
  </si>
  <si>
    <t>098024</t>
  </si>
  <si>
    <t>092608</t>
  </si>
  <si>
    <t>095652</t>
  </si>
  <si>
    <t>096216</t>
  </si>
  <si>
    <t>V1N-701</t>
  </si>
  <si>
    <t>B1C-738</t>
  </si>
  <si>
    <t>B6H-594</t>
  </si>
  <si>
    <t>V2U-625</t>
  </si>
  <si>
    <t>EH-5239</t>
  </si>
  <si>
    <t>V6Q-932</t>
  </si>
  <si>
    <t>V5V-662</t>
  </si>
  <si>
    <t>B1L-403</t>
  </si>
  <si>
    <t>B0N-628</t>
  </si>
  <si>
    <t>V1N-710</t>
  </si>
  <si>
    <t>V3E-601</t>
  </si>
  <si>
    <t>V5M-037</t>
  </si>
  <si>
    <t>V5K-108</t>
  </si>
  <si>
    <t>TURPO CHAYÑA MELCHOR</t>
  </si>
  <si>
    <t>AGUIRRE HUARACHA JESSICA ROXANA</t>
  </si>
  <si>
    <t>CASANI CHOQUE ROBINSON</t>
  </si>
  <si>
    <t>PILCO MENDOZA BRISTNEY</t>
  </si>
  <si>
    <t>RIVERA SALAS JOSE</t>
  </si>
  <si>
    <t>CONDO YUCRA JUAN DE DIOS</t>
  </si>
  <si>
    <t>LLIMPE QUISPE MATILDE</t>
  </si>
  <si>
    <t>SIMON LLIMPE, ALEXANDER</t>
  </si>
  <si>
    <t>SIMON CAYO ANGEL</t>
  </si>
  <si>
    <t>LAURA QUISPE MARTIN</t>
  </si>
  <si>
    <t>URQUIZO DE ORIHUELA MARIA LOURDES</t>
  </si>
  <si>
    <t>SOLIZ MAMANI RAFAEL</t>
  </si>
  <si>
    <t>ESCOBAR GONZALES CRISTEL</t>
  </si>
  <si>
    <t>VALENCIA CARPIO GERARD</t>
  </si>
  <si>
    <t>RODRIGUEZ PUHUAYA, MARCO</t>
  </si>
  <si>
    <t>CHICAÑA CARHUA MARTHA</t>
  </si>
  <si>
    <t>MUÑIZ HERNANI GIN EDIL</t>
  </si>
  <si>
    <t>099425</t>
  </si>
  <si>
    <t>100155</t>
  </si>
  <si>
    <t>085964</t>
  </si>
  <si>
    <t>090259</t>
  </si>
  <si>
    <t>091714</t>
  </si>
  <si>
    <t>084881</t>
  </si>
  <si>
    <t>086852</t>
  </si>
  <si>
    <t>080039</t>
  </si>
  <si>
    <t>087169</t>
  </si>
  <si>
    <t>086273</t>
  </si>
  <si>
    <t>091336</t>
  </si>
  <si>
    <t>096656</t>
  </si>
  <si>
    <t>085908</t>
  </si>
  <si>
    <t>088145</t>
  </si>
  <si>
    <t>093512</t>
  </si>
  <si>
    <t>094696</t>
  </si>
  <si>
    <t>V5U-531</t>
  </si>
  <si>
    <t>FH-2954</t>
  </si>
  <si>
    <t>V2V-607</t>
  </si>
  <si>
    <t>V5A-403</t>
  </si>
  <si>
    <t>RH-6136</t>
  </si>
  <si>
    <t>V2V-652</t>
  </si>
  <si>
    <t>C6J-639</t>
  </si>
  <si>
    <t>V2S-663</t>
  </si>
  <si>
    <t>DH-6975</t>
  </si>
  <si>
    <t>A0C-082</t>
  </si>
  <si>
    <t>FH-5477 (V5Z-481)</t>
  </si>
  <si>
    <t>FH-3497</t>
  </si>
  <si>
    <t>FH-1536</t>
  </si>
  <si>
    <t>DH-8617</t>
  </si>
  <si>
    <t>V5Y-418</t>
  </si>
  <si>
    <t>V3F-218</t>
  </si>
  <si>
    <t>TORREBLANCA VALLADARES RENE</t>
  </si>
  <si>
    <t>LETONA CHAVEZ JAHURY JHOMIYA</t>
  </si>
  <si>
    <t>PILA CRUZ HENRY</t>
  </si>
  <si>
    <t>AMESQUITA SOTO MARVIN</t>
  </si>
  <si>
    <t>HUACAN PACSI TOMAS</t>
  </si>
  <si>
    <t>FLORES ROMERO VERONICA ROCIO</t>
  </si>
  <si>
    <t>MORALES FLORES JOSHEP MATHIAS</t>
  </si>
  <si>
    <t>SUNI MAMANI BERTHA</t>
  </si>
  <si>
    <t>QUISPE SUNI LUCY</t>
  </si>
  <si>
    <t>GARCIA CHOQUE HILARIO</t>
  </si>
  <si>
    <t>LLERENA ACERO JUAN GIORDANO</t>
  </si>
  <si>
    <t>PEREA AYSA YAJAIRA</t>
  </si>
  <si>
    <t>ANCCO SUCAPUCA ENRIQUE</t>
  </si>
  <si>
    <t>VERA TICONA FERNANDO</t>
  </si>
  <si>
    <t>TICONA ANCO JOSE LUIS</t>
  </si>
  <si>
    <t>CABRERA TICONA MARITZA XIOMARA</t>
  </si>
  <si>
    <t>TICONA ANCO JUANA AURORA</t>
  </si>
  <si>
    <t>NIETO BRICEÑO RAMIRO EFRAIN</t>
  </si>
  <si>
    <t>AROCUTIPA INQUILLA GERARDO</t>
  </si>
  <si>
    <t>MOROCCOIRI CARTAGENA HERLY MARCELO</t>
  </si>
  <si>
    <t>CHIPA HUISA VILMA</t>
  </si>
  <si>
    <t xml:space="preserve">TACO CRUZ ALFREDO </t>
  </si>
  <si>
    <t>SUTTA ZUÑIGA LINO MARIO</t>
  </si>
  <si>
    <t>096287</t>
  </si>
  <si>
    <t>102088</t>
  </si>
  <si>
    <t>099499</t>
  </si>
  <si>
    <t>093562</t>
  </si>
  <si>
    <t>091221</t>
  </si>
  <si>
    <t>EH-2310</t>
  </si>
  <si>
    <t>V3G-279</t>
  </si>
  <si>
    <t>Z2E-775</t>
  </si>
  <si>
    <t>V1U-131</t>
  </si>
  <si>
    <t>A4I-748</t>
  </si>
  <si>
    <t>QUISPE FLORES GLADYS</t>
  </si>
  <si>
    <t>MOLINA DE GASCA CARMEN</t>
  </si>
  <si>
    <t>GASCA MOLINA KATTY</t>
  </si>
  <si>
    <t>CRUZ PILARES MIGUEL ANGEL</t>
  </si>
  <si>
    <t>CRUZ CALIXTO FABIO ANTONIO</t>
  </si>
  <si>
    <t>MULLISACA SONCCO PAULINA</t>
  </si>
  <si>
    <t>ARIAS MAMANI PIERO</t>
  </si>
  <si>
    <t>ARIAS MOLLESACA ALFREDO</t>
  </si>
  <si>
    <t>ARIAS MAMANI BRIYITH</t>
  </si>
  <si>
    <t>GONZALES APAZA, SUSY CELIA</t>
  </si>
  <si>
    <t>HUACHANI COAQUIRA, IGNACIA YOLA</t>
  </si>
  <si>
    <t>VARGAS SOTO, MIGUEL ANTONIO</t>
  </si>
  <si>
    <t>VARGAS SOTO, FRANCISCO MANUEL</t>
  </si>
  <si>
    <t>093169</t>
  </si>
  <si>
    <t>GH-5879</t>
  </si>
  <si>
    <t>COAQUIRA QUISPE PEDRO FERNANDO</t>
  </si>
  <si>
    <t>086883</t>
  </si>
  <si>
    <t>V2L-157</t>
  </si>
  <si>
    <t>FLORES GOMEZ ABDON</t>
  </si>
  <si>
    <t>085144</t>
  </si>
  <si>
    <t>FH-4559</t>
  </si>
  <si>
    <t>BELTRAN ALEMAN TANIA MARICELA</t>
  </si>
  <si>
    <t>088855</t>
  </si>
  <si>
    <t>V3N-041</t>
  </si>
  <si>
    <t>CUSIHUAMAN AMBROCIO CESAR AUGUSTO</t>
  </si>
  <si>
    <t>093384</t>
  </si>
  <si>
    <t>B7X-330</t>
  </si>
  <si>
    <t>MAQUERA MAQUERA EDALGO</t>
  </si>
  <si>
    <t>090343</t>
  </si>
  <si>
    <t>DH-9006</t>
  </si>
  <si>
    <t>DIAZ MORALES MARIA</t>
  </si>
  <si>
    <t>MAQUERA MACHACA LIZETH</t>
  </si>
  <si>
    <t>093870</t>
  </si>
  <si>
    <t>EH-7217</t>
  </si>
  <si>
    <t>HUAHUASONCO PALOMINO ESTANISLAO</t>
  </si>
  <si>
    <t>088276</t>
  </si>
  <si>
    <t>V1G-672</t>
  </si>
  <si>
    <t>GUTIERREZ VARGAS ROXANA</t>
  </si>
  <si>
    <t>VARGAS TICLLA JUDITH</t>
  </si>
  <si>
    <t>086002</t>
  </si>
  <si>
    <t>V4I-526</t>
  </si>
  <si>
    <t>MACHACA PORTILLA ALBERTO</t>
  </si>
  <si>
    <t>088696</t>
  </si>
  <si>
    <t>HO-3533</t>
  </si>
  <si>
    <t>PEÑA CHUCTAYA MARIBEL</t>
  </si>
  <si>
    <t>089517</t>
  </si>
  <si>
    <t>V2Z-070</t>
  </si>
  <si>
    <t>MANSILLA SAAVEDRA YEMILY ADRIANA</t>
  </si>
  <si>
    <t>101564</t>
  </si>
  <si>
    <t>A0V-769</t>
  </si>
  <si>
    <t>MENDOZA MAYTA CANDELARIA</t>
  </si>
  <si>
    <t>090979</t>
  </si>
  <si>
    <t>Y1E-437</t>
  </si>
  <si>
    <t>QUISPE PONCE ROSARIO</t>
  </si>
  <si>
    <t>096758</t>
  </si>
  <si>
    <t>V4S-206</t>
  </si>
  <si>
    <t>CUADROS COLLADO JOSE ADRIAN</t>
  </si>
  <si>
    <t>088852</t>
  </si>
  <si>
    <t>V5F-090</t>
  </si>
  <si>
    <t>YUPANQUI SEGOVIA LYNN KATHERINE</t>
  </si>
  <si>
    <t>094642</t>
  </si>
  <si>
    <t>V2X-718</t>
  </si>
  <si>
    <t>ATENCIO COAGUILA DE CUAGUILA LELIS ELENA</t>
  </si>
  <si>
    <t>SEGOVIA FLOR ROCIO JANETT</t>
  </si>
  <si>
    <t>094603</t>
  </si>
  <si>
    <t>Z2S-458</t>
  </si>
  <si>
    <t>CHAÑI MAMANI MARSHIA SOFIA</t>
  </si>
  <si>
    <t>102689</t>
  </si>
  <si>
    <t>V2C-699</t>
  </si>
  <si>
    <t>CANO MARIN WILMER</t>
  </si>
  <si>
    <t>093310</t>
  </si>
  <si>
    <t>M9-3429</t>
  </si>
  <si>
    <t>RIVERA RIVERA LADY</t>
  </si>
  <si>
    <t>096942</t>
  </si>
  <si>
    <t>V1X-598</t>
  </si>
  <si>
    <t>VILCA CALARI CHRISTIAN JESUS</t>
  </si>
  <si>
    <t>APAZA HUARANCA LILIAN</t>
  </si>
  <si>
    <t>089946</t>
  </si>
  <si>
    <t>V3J-120</t>
  </si>
  <si>
    <t>TUNQUIPA MAMANI VALERIE</t>
  </si>
  <si>
    <t>094028</t>
  </si>
  <si>
    <t>V3L-495</t>
  </si>
  <si>
    <t>SALAS ANCO NICOLE</t>
  </si>
  <si>
    <t>095205</t>
  </si>
  <si>
    <t>FH-2561</t>
  </si>
  <si>
    <t>NN</t>
  </si>
  <si>
    <t>091330</t>
  </si>
  <si>
    <t>CHOQUEMAMANI VILCA JULISSA</t>
  </si>
  <si>
    <t>092526</t>
  </si>
  <si>
    <t>091140</t>
  </si>
  <si>
    <t>V2V-670</t>
  </si>
  <si>
    <t>092356</t>
  </si>
  <si>
    <t>V1O-617</t>
  </si>
  <si>
    <t>CAUNA NUÑEZ EDY MARTYN</t>
  </si>
  <si>
    <t>087837</t>
  </si>
  <si>
    <t>V5C-181</t>
  </si>
  <si>
    <t>ARIAS GARCIA PAULO RICARDO</t>
  </si>
  <si>
    <t>091371</t>
  </si>
  <si>
    <t>C8Z-002</t>
  </si>
  <si>
    <t>ROMERO DE CARPIO PAULA YOLANDA</t>
  </si>
  <si>
    <t>091524</t>
  </si>
  <si>
    <t>V5I-146</t>
  </si>
  <si>
    <t>TITO GARCIA ANA IRIS</t>
  </si>
  <si>
    <t>103087</t>
  </si>
  <si>
    <t>V5Y-103</t>
  </si>
  <si>
    <t>LEON LAZARINOS STEFANI</t>
  </si>
  <si>
    <t>103042</t>
  </si>
  <si>
    <t>A3F-764</t>
  </si>
  <si>
    <t>VARGAS VIZCARRA LOURDES GRISEL</t>
  </si>
  <si>
    <t>MAMANI MENDOZA MAYCOL KEVIN</t>
  </si>
  <si>
    <t>097755</t>
  </si>
  <si>
    <t>BGA-540</t>
  </si>
  <si>
    <t>CASTRO TACO JOSE</t>
  </si>
  <si>
    <t>ROSPIGLIOSI NEYRA ROXANA</t>
  </si>
  <si>
    <t>LOPEZ SALAZAR WILSON</t>
  </si>
  <si>
    <t>091869</t>
  </si>
  <si>
    <t>V2Y-616</t>
  </si>
  <si>
    <t>097409</t>
  </si>
  <si>
    <t>ANDIA ARIAS JACQUELINE</t>
  </si>
  <si>
    <t>096839</t>
  </si>
  <si>
    <t>FH2-472</t>
  </si>
  <si>
    <t>099730</t>
  </si>
  <si>
    <t>V4S-121</t>
  </si>
  <si>
    <t>VERA CAHUATA YILMAR ALEXIS</t>
  </si>
  <si>
    <t>SANGA LUQUE, MICHAEL</t>
  </si>
  <si>
    <t>ASTO SANCJA MARIO</t>
  </si>
  <si>
    <t>SIMON LLIMPE, ARIANA YAZMIN</t>
  </si>
  <si>
    <t>087045</t>
  </si>
  <si>
    <t>V3Y-696</t>
  </si>
  <si>
    <t>FERNANDEZ PINTO JOHANA ARLETTE</t>
  </si>
  <si>
    <t>086812</t>
  </si>
  <si>
    <t>C8T-212</t>
  </si>
  <si>
    <t>091096</t>
  </si>
  <si>
    <t>V4Y-375</t>
  </si>
  <si>
    <t>SUBIA CONDORI LESLIE</t>
  </si>
  <si>
    <t>SUBIA VILLANUEVA NAYELY</t>
  </si>
  <si>
    <t>VILLANUEVA RODRIGUEZ ELVA</t>
  </si>
  <si>
    <t>089842</t>
  </si>
  <si>
    <t>V3Y-123</t>
  </si>
  <si>
    <t>HUARAYA QUISPE HUBERT</t>
  </si>
  <si>
    <t>PAREDES GOLOSON RAUL MATEO</t>
  </si>
  <si>
    <t>096940</t>
  </si>
  <si>
    <t>V2N-606</t>
  </si>
  <si>
    <t>098629</t>
  </si>
  <si>
    <t>V1T-641</t>
  </si>
  <si>
    <t>PAXI ORTIZ ANGEL</t>
  </si>
  <si>
    <t>101833</t>
  </si>
  <si>
    <t>V2L-567</t>
  </si>
  <si>
    <t>CONDORI COLQUEHUANCA EDWIN</t>
  </si>
  <si>
    <t>NARCISO QUISPE FRANCISCA</t>
  </si>
  <si>
    <t>086970</t>
  </si>
  <si>
    <t>IO-7310</t>
  </si>
  <si>
    <t>076865</t>
  </si>
  <si>
    <t>V2I-160</t>
  </si>
  <si>
    <t>HUAMANI COAGUILA JHONY</t>
  </si>
  <si>
    <t>087153</t>
  </si>
  <si>
    <t>B7M-534</t>
  </si>
  <si>
    <t>094991</t>
  </si>
  <si>
    <t>V4P-076</t>
  </si>
  <si>
    <t>091771</t>
  </si>
  <si>
    <t>V4G-086</t>
  </si>
  <si>
    <t>HUANCA HUANCA ISABEL</t>
  </si>
  <si>
    <t>093413</t>
  </si>
  <si>
    <t>V4Y-630</t>
  </si>
  <si>
    <t>096076</t>
  </si>
  <si>
    <t>A2G-950</t>
  </si>
  <si>
    <t>LUDEÑA CORRALES ALLISON</t>
  </si>
  <si>
    <t>CORRALES BERNAL AMELIA</t>
  </si>
  <si>
    <t>095639</t>
  </si>
  <si>
    <t>UK-3187</t>
  </si>
  <si>
    <t>RODRIGUEZ BORJA CRUZ LORENA</t>
  </si>
  <si>
    <t>101098</t>
  </si>
  <si>
    <t>V2Q-306</t>
  </si>
  <si>
    <t>085266</t>
  </si>
  <si>
    <t>V2G-617</t>
  </si>
  <si>
    <t>094350</t>
  </si>
  <si>
    <t>V1P-588</t>
  </si>
  <si>
    <t>086282</t>
  </si>
  <si>
    <t>AGÜERO VALDERRAMA MARICELA</t>
  </si>
  <si>
    <t>103088</t>
  </si>
  <si>
    <t>B0I-632</t>
  </si>
  <si>
    <t>101750</t>
  </si>
  <si>
    <t>V5E-673</t>
  </si>
  <si>
    <t>092350</t>
  </si>
  <si>
    <t>V1A-796</t>
  </si>
  <si>
    <t>CONDORI CAHUINA JUAN VITALIANO</t>
  </si>
  <si>
    <t>095631</t>
  </si>
  <si>
    <t>D7K-101</t>
  </si>
  <si>
    <t>LUQUE ORTIZ FERNANDO GUSTAVO</t>
  </si>
  <si>
    <t>102672</t>
  </si>
  <si>
    <t>V6G-199</t>
  </si>
  <si>
    <t>VARGAS SOLARI LUCIA</t>
  </si>
  <si>
    <t>102678</t>
  </si>
  <si>
    <t>EH-3249</t>
  </si>
  <si>
    <t>TEJADA PINTO GLENY LOURDES</t>
  </si>
  <si>
    <t>087209</t>
  </si>
  <si>
    <t>DH-9892</t>
  </si>
  <si>
    <t>CONGONA CARPIO DORIS MARINA</t>
  </si>
  <si>
    <t>CANALES YEPEZ SUSANA</t>
  </si>
  <si>
    <t>096877</t>
  </si>
  <si>
    <t>BGU-766</t>
  </si>
  <si>
    <t>CACERES APAZA DANIEL PASCUAL</t>
  </si>
  <si>
    <t>100616</t>
  </si>
  <si>
    <t>V1T-253</t>
  </si>
  <si>
    <t>BARRIOS ARAPA RUTH KATHERINE</t>
  </si>
  <si>
    <t>FIGUEROA BARRIOS FABRICIO</t>
  </si>
  <si>
    <t>FIGUEROA BARRIOS XIOMARA</t>
  </si>
  <si>
    <t>096327</t>
  </si>
  <si>
    <t>Y1L-171</t>
  </si>
  <si>
    <t>TAPIA CHACON PAUL JHUNIOR</t>
  </si>
  <si>
    <t>094741</t>
  </si>
  <si>
    <t>V3N-121</t>
  </si>
  <si>
    <t>ORTEGA PAREDES MICHAEL</t>
  </si>
  <si>
    <t>094950</t>
  </si>
  <si>
    <t>D4F-474</t>
  </si>
  <si>
    <t>GUTIERREZ CHOTON YESENIA SUSAN</t>
  </si>
  <si>
    <t>104253</t>
  </si>
  <si>
    <t>V3L-345</t>
  </si>
  <si>
    <t>VILCA MISME ERIKA</t>
  </si>
  <si>
    <t>087182</t>
  </si>
  <si>
    <t>P1H-777</t>
  </si>
  <si>
    <t>ITURRIAGA GUILLEN ROSA MARIA</t>
  </si>
  <si>
    <t>ABANDO TRAUCO OSCAR</t>
  </si>
  <si>
    <t>APAZA LANCHIPA ANA MARIA</t>
  </si>
  <si>
    <t>104045</t>
  </si>
  <si>
    <t>MARAZA MAMANI VALERIO</t>
  </si>
  <si>
    <t>092077</t>
  </si>
  <si>
    <t>V1C-165</t>
  </si>
  <si>
    <t>BENAVIDES ROSAS MARIA</t>
  </si>
  <si>
    <t>100445</t>
  </si>
  <si>
    <t>V1I-562</t>
  </si>
  <si>
    <t>LAURA HUARANGA RAFAEL ELVIS</t>
  </si>
  <si>
    <t>HURTADO ALVAREZ IBETH VERONICA</t>
  </si>
  <si>
    <t xml:space="preserve">LAURA HURTADO VERONICA </t>
  </si>
  <si>
    <t>MAMANI MOROCCO MIGUEL ANGEL</t>
  </si>
  <si>
    <t>100237</t>
  </si>
  <si>
    <t>V5W-679</t>
  </si>
  <si>
    <t>ROJAS GUTIERREZ ABELARDO ANTONIO</t>
  </si>
  <si>
    <t>ESPEJO CAMPOS JAHZEEL LUCIANO</t>
  </si>
  <si>
    <t>099771</t>
  </si>
  <si>
    <t>V3F-338</t>
  </si>
  <si>
    <t>LINARES QUISPE ELIAS WILBER</t>
  </si>
  <si>
    <t>095121</t>
  </si>
  <si>
    <t>V3Y-128</t>
  </si>
  <si>
    <t>CHACONDORI CHUCTAYA ANGEL WILFREDO</t>
  </si>
  <si>
    <t>APAZA CHIPANA JAIME</t>
  </si>
  <si>
    <t>099947</t>
  </si>
  <si>
    <t>V5L-341</t>
  </si>
  <si>
    <t>CCALLO RAMIREZ NORMA LUCILA</t>
  </si>
  <si>
    <t>104575</t>
  </si>
  <si>
    <t>V3A-600</t>
  </si>
  <si>
    <t>VELASQUEZ CALLA KAREN ESTELA</t>
  </si>
  <si>
    <t>100926</t>
  </si>
  <si>
    <t>V1F-711</t>
  </si>
  <si>
    <t>CANSAYA MADUEÑO YULIANA</t>
  </si>
  <si>
    <t>095460</t>
  </si>
  <si>
    <t>TH-3639</t>
  </si>
  <si>
    <t>FLORES QUISPE FIDELA</t>
  </si>
  <si>
    <t>VALERO QUISPE BRIANA DANIELA</t>
  </si>
  <si>
    <t>096421</t>
  </si>
  <si>
    <t>V3E-361</t>
  </si>
  <si>
    <t>CALCINA VALENCIA HIPOLITO MAXIMO</t>
  </si>
  <si>
    <t>102747</t>
  </si>
  <si>
    <t>B9H-955</t>
  </si>
  <si>
    <t>RAMIREZ HUACARPUMA ELIANA CECILIA</t>
  </si>
  <si>
    <t>100847</t>
  </si>
  <si>
    <t>V4A-696</t>
  </si>
  <si>
    <t>GRADOS ROMERO ROBERTO ALFONSO</t>
  </si>
  <si>
    <t>103189</t>
  </si>
  <si>
    <t>V4L-697</t>
  </si>
  <si>
    <t>VERA BEGAZO NANCY MIRIAM</t>
  </si>
  <si>
    <t>102659</t>
  </si>
  <si>
    <t>V3C-078</t>
  </si>
  <si>
    <t>PINEDA HUALPA ALEJANDRO</t>
  </si>
  <si>
    <t>105313</t>
  </si>
  <si>
    <t>D0P-643</t>
  </si>
  <si>
    <t>CUNO CURO VANESSA</t>
  </si>
  <si>
    <t>20/20/2014</t>
  </si>
  <si>
    <t>096664</t>
  </si>
  <si>
    <t>A4J-593</t>
  </si>
  <si>
    <t>TACO CHAHUARA JUSTO</t>
  </si>
  <si>
    <t>104377</t>
  </si>
  <si>
    <t>A2M-726</t>
  </si>
  <si>
    <t>GOYZUETA BENITO JOEL</t>
  </si>
  <si>
    <t>088067</t>
  </si>
  <si>
    <t>B1I-579</t>
  </si>
  <si>
    <t>ITO MAMANI MODESTO</t>
  </si>
  <si>
    <t>100448</t>
  </si>
  <si>
    <t>V3F-422</t>
  </si>
  <si>
    <t>093749</t>
  </si>
  <si>
    <t>F6S-473</t>
  </si>
  <si>
    <t>LAURA QUISPE MARCO ANTONIO</t>
  </si>
  <si>
    <t>093603</t>
  </si>
  <si>
    <t>V5P-122</t>
  </si>
  <si>
    <t>PILCO SULLA SHIRLEY</t>
  </si>
  <si>
    <t>104683</t>
  </si>
  <si>
    <t>V3W-267</t>
  </si>
  <si>
    <t>CCAMA QUEA ROSA</t>
  </si>
  <si>
    <t>098560</t>
  </si>
  <si>
    <t>V5U-654</t>
  </si>
  <si>
    <t>LOAYZA PANIQUE YONY</t>
  </si>
  <si>
    <t>MAMANI QUISPE JACQUELINE CRISTINA</t>
  </si>
  <si>
    <t>089187</t>
  </si>
  <si>
    <t>AZ-8598</t>
  </si>
  <si>
    <t>MESTAS TACO JOSE LUIS</t>
  </si>
  <si>
    <t>ALLASI MOLINA MICHAEL PABLO</t>
  </si>
  <si>
    <t>091990</t>
  </si>
  <si>
    <t>V3B-009</t>
  </si>
  <si>
    <t>VILCA MAMANI MARIA ELENA</t>
  </si>
  <si>
    <t>099024</t>
  </si>
  <si>
    <t>V3G-010</t>
  </si>
  <si>
    <t>PUMA LAURA MARCO</t>
  </si>
  <si>
    <t>PUMA LAURA CRISTINA</t>
  </si>
  <si>
    <t>102180</t>
  </si>
  <si>
    <t>Z2S-098</t>
  </si>
  <si>
    <t>PAYE COAQUIRA WILLY RONNIE</t>
  </si>
  <si>
    <t>QUISPE CHOQUE LUCIA FILOMENA</t>
  </si>
  <si>
    <t>PULCHA CRUZ ERICKA</t>
  </si>
  <si>
    <t>VALENCIA CLARO LORENZA</t>
  </si>
  <si>
    <t>HOLANDA CAMPANO MAGDA</t>
  </si>
  <si>
    <t>HOLANDA HOLANDA CINTHIA</t>
  </si>
  <si>
    <t>RAMOS CALLOCUM NICASIA</t>
  </si>
  <si>
    <t>GUZMAN MAMANI ELEANA LOURDES</t>
  </si>
  <si>
    <t>094291</t>
  </si>
  <si>
    <t>EH-5443</t>
  </si>
  <si>
    <t>ASQUI VARGAS LOURDES</t>
  </si>
  <si>
    <t>AGUEDO APAZA RICARDO</t>
  </si>
  <si>
    <t>100130</t>
  </si>
  <si>
    <t>CHURA CONDORI DAMASO</t>
  </si>
  <si>
    <t>095097</t>
  </si>
  <si>
    <t>V1O-780</t>
  </si>
  <si>
    <t>QUISPE MAMANI CESAR EFRAIN</t>
  </si>
  <si>
    <t>096416</t>
  </si>
  <si>
    <t>V5B-780</t>
  </si>
  <si>
    <t>ALVAREZ QUISPE SEBASTIAN</t>
  </si>
  <si>
    <t>CCAMA QUISPE MANUEL</t>
  </si>
  <si>
    <t>QUISPE BENAVENTE LOURDES</t>
  </si>
  <si>
    <t>COLQUE CHARCA YOSELYN</t>
  </si>
  <si>
    <t>30647-B</t>
  </si>
  <si>
    <t>SACSI VARGAS, VALERIO</t>
  </si>
  <si>
    <t>VILCA BARRIGA YOANE ALICIA</t>
  </si>
  <si>
    <t>104583</t>
  </si>
  <si>
    <t>V3R-497</t>
  </si>
  <si>
    <t>CHOQUE QUEA RONALD MARINO</t>
  </si>
  <si>
    <t>AREQUIPA - AREQUIPA</t>
  </si>
  <si>
    <t>102900</t>
  </si>
  <si>
    <t>B4B-470</t>
  </si>
  <si>
    <t>BEGAZO SALINAS ELIZABETH</t>
  </si>
  <si>
    <t>096508</t>
  </si>
  <si>
    <t>V4Z689</t>
  </si>
  <si>
    <t>089186</t>
  </si>
  <si>
    <t>V1I-057</t>
  </si>
  <si>
    <t>DELGADO MORALES MARIA</t>
  </si>
  <si>
    <t>088999</t>
  </si>
  <si>
    <t>V3S-358</t>
  </si>
  <si>
    <t>LOPEZ NEYRA THIAGO ALEXIS</t>
  </si>
  <si>
    <t>090149</t>
  </si>
  <si>
    <t>V1O-656</t>
  </si>
  <si>
    <t>ACROTA MAMANI ANGELES SAHORI</t>
  </si>
  <si>
    <t>088682</t>
  </si>
  <si>
    <t>V2Z-321</t>
  </si>
  <si>
    <t>YUPANQUI DE RODRIGUEZ AIDA</t>
  </si>
  <si>
    <t>090479</t>
  </si>
  <si>
    <t>B0X-381</t>
  </si>
  <si>
    <t>CCOMPI HANCCO EDWIN</t>
  </si>
  <si>
    <t>089112</t>
  </si>
  <si>
    <t>V5E-233</t>
  </si>
  <si>
    <t>COLQUE BANEGAS MANUEL ISMAEL</t>
  </si>
  <si>
    <t>096715</t>
  </si>
  <si>
    <t>A3-7179</t>
  </si>
  <si>
    <t>VILCA CATARI CESAREO</t>
  </si>
  <si>
    <t>100599</t>
  </si>
  <si>
    <t>FH-3818</t>
  </si>
  <si>
    <t>095780</t>
  </si>
  <si>
    <t>B1Y-067</t>
  </si>
  <si>
    <t>MOLLEAPAZA RAMOS EMILIANO JERONIMO</t>
  </si>
  <si>
    <t>099740</t>
  </si>
  <si>
    <t>V3O-471</t>
  </si>
  <si>
    <t>CHEVARRIA MAMANI MARLENY</t>
  </si>
  <si>
    <t>AREQUIPA -AREQUIPA</t>
  </si>
  <si>
    <t>101458</t>
  </si>
  <si>
    <t>V4V-050</t>
  </si>
  <si>
    <t>APAZA CHOQUEHUANCA MARTHA</t>
  </si>
  <si>
    <t>TURPO LAMPA GRACIELA</t>
  </si>
  <si>
    <t>087976</t>
  </si>
  <si>
    <t>V3Z-598</t>
  </si>
  <si>
    <t>ORTIZ CARDENAS BLANCA SILVIA</t>
  </si>
  <si>
    <t>PUMA ORTIZ NICASIO LUIS</t>
  </si>
  <si>
    <t>AREQUIPA - PEDREGAL</t>
  </si>
  <si>
    <t>CHAMBI CHINO MIGUEL ANGEL</t>
  </si>
  <si>
    <t>091749</t>
  </si>
  <si>
    <t>V2C-672</t>
  </si>
  <si>
    <t>RAMOS SILVA ANDREA ALLISON</t>
  </si>
  <si>
    <t>105272</t>
  </si>
  <si>
    <t>X1M-772</t>
  </si>
  <si>
    <t>CONDORI CAPCHA YASMINA LANDY</t>
  </si>
  <si>
    <t>100932</t>
  </si>
  <si>
    <t>Z2A-709</t>
  </si>
  <si>
    <t>COAQUIRA MACHACA SONIA BEATRIZ</t>
  </si>
  <si>
    <t>CAYRA MAMANI NAHID URIEL</t>
  </si>
  <si>
    <t>094632</t>
  </si>
  <si>
    <t>V5M-405</t>
  </si>
  <si>
    <t>POCOCHUANCA VALERIANO TIMOTEO</t>
  </si>
  <si>
    <t>090457</t>
  </si>
  <si>
    <t>V1Y-199</t>
  </si>
  <si>
    <t>ROMERO HUAPAYA ROMULO</t>
  </si>
  <si>
    <t>088071</t>
  </si>
  <si>
    <t>100466</t>
  </si>
  <si>
    <t>FH-5824</t>
  </si>
  <si>
    <t>ALIAGA SANCHEZ YANELY</t>
  </si>
  <si>
    <t>096245</t>
  </si>
  <si>
    <t>V1T-587</t>
  </si>
  <si>
    <t>TORRES MURILLO EDILBERTO</t>
  </si>
  <si>
    <t>PACCO PAUCCARA PERCY</t>
  </si>
  <si>
    <t>MENDOZA CHIPANA PASCUALA</t>
  </si>
  <si>
    <t>CACERES JOSEC EVELYN</t>
  </si>
  <si>
    <t>POCHO ROQUE TIMOTEO</t>
  </si>
  <si>
    <t>102439</t>
  </si>
  <si>
    <t>W1W-704</t>
  </si>
  <si>
    <t>CHAMBI DE ALCA FRANCISCA</t>
  </si>
  <si>
    <t>096904</t>
  </si>
  <si>
    <t>V4G-020</t>
  </si>
  <si>
    <t>BENITO SAICO NERY MANUELA</t>
  </si>
  <si>
    <t>102475</t>
  </si>
  <si>
    <t>V4Y-299</t>
  </si>
  <si>
    <t>TORRES CCARITA MOISES</t>
  </si>
  <si>
    <t>097910</t>
  </si>
  <si>
    <t>V1U-050</t>
  </si>
  <si>
    <t>ENRIQUEZ DE MAMANI LORENZA</t>
  </si>
  <si>
    <t>095668</t>
  </si>
  <si>
    <t>M9-0621</t>
  </si>
  <si>
    <t>QUISPE CUTIPA JHONATAN</t>
  </si>
  <si>
    <t>103062</t>
  </si>
  <si>
    <t>A3B-721</t>
  </si>
  <si>
    <t>SILVA RUBINA GIMENA</t>
  </si>
  <si>
    <t>NEYRA SILVA ANDERSON</t>
  </si>
  <si>
    <t>100887</t>
  </si>
  <si>
    <t>V4U-237</t>
  </si>
  <si>
    <t>CALAPUJA QUISPE JAIME JHUNIOR</t>
  </si>
  <si>
    <t>QUISPE COLQUE NORMA</t>
  </si>
  <si>
    <t>092436</t>
  </si>
  <si>
    <t>V4W-425</t>
  </si>
  <si>
    <t>TICONA MAMANI WALTER GONZALO</t>
  </si>
  <si>
    <t>076936</t>
  </si>
  <si>
    <t>Y1A-146</t>
  </si>
  <si>
    <t>SILVA BENAVIDES JEAN CARLOS</t>
  </si>
  <si>
    <t>089456</t>
  </si>
  <si>
    <t>V2W-450</t>
  </si>
  <si>
    <t>SUCAPUCA PARI JAVIER SILVER</t>
  </si>
  <si>
    <t>LUPA CCAHUA BETO OSCAR</t>
  </si>
  <si>
    <t>NINA CASTRO POLICARPIO</t>
  </si>
  <si>
    <t>CHALLCO CABALLERO FERNANDO</t>
  </si>
  <si>
    <t>CHULLO TICONA GUIDO</t>
  </si>
  <si>
    <t>COLLANQUI MAMANI ALEJANDRA ANDREA</t>
  </si>
  <si>
    <t>SONCO MONTES VIRGINIA</t>
  </si>
  <si>
    <t>MACEDO VERA YANIRA MIYAGUI</t>
  </si>
  <si>
    <t>CARCAUSTO LAURA SMIN ISMAEL</t>
  </si>
  <si>
    <t>POLAR CCAMA ITZIA MAYRA</t>
  </si>
  <si>
    <t>CALLACONDO PARARI YAMILET</t>
  </si>
  <si>
    <t>QUISPE BENAVENTE ALBERTA</t>
  </si>
  <si>
    <t>CHARCA ROQUE MARIA ELIZABETH</t>
  </si>
  <si>
    <t>TOTOCAYO ACHINQUIPA MERCEDES</t>
  </si>
  <si>
    <t>FLORES ENDARA FELIPE</t>
  </si>
  <si>
    <t>110499</t>
  </si>
  <si>
    <t>W1J-766</t>
  </si>
  <si>
    <t>ALVAREZ FERNANDEZ LIZBETH</t>
  </si>
  <si>
    <t>094537</t>
  </si>
  <si>
    <t>V1M-757</t>
  </si>
  <si>
    <t>QUISPE ROJAS MIGUEL</t>
  </si>
  <si>
    <t>MOSCOL CARPIO XIOMARA ALEXANDRA</t>
  </si>
  <si>
    <t>104333</t>
  </si>
  <si>
    <t>GH-3085</t>
  </si>
  <si>
    <t>MENDOZA COAQUIRA ENRIQUE</t>
  </si>
  <si>
    <t>PACHECO MOSCOSO SATURNINA</t>
  </si>
  <si>
    <t>102746</t>
  </si>
  <si>
    <t>V5Q-680</t>
  </si>
  <si>
    <t>CAHUANA CHILE HAROL</t>
  </si>
  <si>
    <t>096815</t>
  </si>
  <si>
    <t>W2G-768</t>
  </si>
  <si>
    <t>PUCHO BARRIOS ROSA ANGELICA</t>
  </si>
  <si>
    <t>091280</t>
  </si>
  <si>
    <t>V4P-424</t>
  </si>
  <si>
    <t>CASTELO VELASQUEZ VICTOR</t>
  </si>
  <si>
    <t>097221</t>
  </si>
  <si>
    <t>V5P-063</t>
  </si>
  <si>
    <t>ZEBALLOS ROSAS CRISTHIAN</t>
  </si>
  <si>
    <t>104360</t>
  </si>
  <si>
    <t>V4Z-782</t>
  </si>
  <si>
    <t>CARIHUAZAIRO SANGAMA DIANA</t>
  </si>
  <si>
    <t>090864</t>
  </si>
  <si>
    <t>V2Z-165</t>
  </si>
  <si>
    <t>COAQUIRA OLANDA NATALIA</t>
  </si>
  <si>
    <t>104336</t>
  </si>
  <si>
    <t>Y1G-513</t>
  </si>
  <si>
    <t>AGUILAR COLLADO LUANA</t>
  </si>
  <si>
    <t>AGUILAR CHISE SOFIA</t>
  </si>
  <si>
    <t>AGUILAR CHISE DIEGO</t>
  </si>
  <si>
    <t>MOLLEAPAZA CORRALES ZUNILDA</t>
  </si>
  <si>
    <t>099221</t>
  </si>
  <si>
    <t>D2Y-154</t>
  </si>
  <si>
    <t>QUISPE CHURATA EMILIANA</t>
  </si>
  <si>
    <t>AREQUIPA - CAMANA</t>
  </si>
  <si>
    <t>110425</t>
  </si>
  <si>
    <t>V3W-447</t>
  </si>
  <si>
    <t>CABRERA CRUZ SOFIA GABRIELA</t>
  </si>
  <si>
    <t>105978</t>
  </si>
  <si>
    <t>V3T-176</t>
  </si>
  <si>
    <t>QUISPE HILACANA VALENTINA</t>
  </si>
  <si>
    <t>101302</t>
  </si>
  <si>
    <t>V1M-524</t>
  </si>
  <si>
    <t>QUILLA BEATO SARA</t>
  </si>
  <si>
    <t>086533</t>
  </si>
  <si>
    <t>NG-79213</t>
  </si>
  <si>
    <t>OCSA VILCA EULOGIO VICENTE</t>
  </si>
  <si>
    <t>096117</t>
  </si>
  <si>
    <t>V4W-475</t>
  </si>
  <si>
    <t>MEDINA HINOJOSA JAVIER GUSTAVO</t>
  </si>
  <si>
    <t>093444</t>
  </si>
  <si>
    <t>AHUANLLA ZAMBRANO EDGAR MARCIAL</t>
  </si>
  <si>
    <t>101613</t>
  </si>
  <si>
    <t>V5F-377</t>
  </si>
  <si>
    <t>CONISLLA HUAMANI ELIZABETH MICAELA</t>
  </si>
  <si>
    <t>HUIRSE CONISLLA VICTOR JORGE</t>
  </si>
  <si>
    <t>099427</t>
  </si>
  <si>
    <t>V1Z-702</t>
  </si>
  <si>
    <t>UCROS USCAMAYTA FULGENCIO</t>
  </si>
  <si>
    <t>101530</t>
  </si>
  <si>
    <t>D1E-681</t>
  </si>
  <si>
    <t>ARREDONDO ESTRADA EMILIO</t>
  </si>
  <si>
    <t>ARREDONDO YUCRA MATEO</t>
  </si>
  <si>
    <t>MENDOZA LIMA JUAN</t>
  </si>
  <si>
    <t>LIPA MAMANI JUAN</t>
  </si>
  <si>
    <t>110509</t>
  </si>
  <si>
    <t>V1Z-651</t>
  </si>
  <si>
    <t>BUSTAMANTE CAHUATA RUTH ZENAIDA</t>
  </si>
  <si>
    <t>091911</t>
  </si>
  <si>
    <t>V1Q-677</t>
  </si>
  <si>
    <t>SARAVIA CONDORCAHUA ANA</t>
  </si>
  <si>
    <t>091029</t>
  </si>
  <si>
    <t>B6K-370</t>
  </si>
  <si>
    <t>QUISPE SALAZAR PILAR</t>
  </si>
  <si>
    <t>101505</t>
  </si>
  <si>
    <t>V1G-696</t>
  </si>
  <si>
    <t>TURPO MERCADO NICASIA</t>
  </si>
  <si>
    <t>098261</t>
  </si>
  <si>
    <t>V5C-519</t>
  </si>
  <si>
    <t>QUISPE FERNADEZ MIRIAN EVA</t>
  </si>
  <si>
    <t>093687</t>
  </si>
  <si>
    <t>V3K-605</t>
  </si>
  <si>
    <t>MANRIQUE SARAVIA MARIA FERNANDA</t>
  </si>
  <si>
    <t xml:space="preserve">SARAVIA TORRES YESSICA </t>
  </si>
  <si>
    <t>104995</t>
  </si>
  <si>
    <t>A4C-708</t>
  </si>
  <si>
    <t>QUISPE QUISPE ROSA VICTORIA</t>
  </si>
  <si>
    <t>105141</t>
  </si>
  <si>
    <t>V4Z-575</t>
  </si>
  <si>
    <t>ROJAS COLLANA SANDRA KARINA</t>
  </si>
  <si>
    <t>MAMANI ROJAS SANDRA YINET</t>
  </si>
  <si>
    <t>102359</t>
  </si>
  <si>
    <t>V3I-339</t>
  </si>
  <si>
    <t>ARISTE LIMA VICTORIANO</t>
  </si>
  <si>
    <t>092322</t>
  </si>
  <si>
    <t>OLIVARES MAMANI LUPE CRISTINA</t>
  </si>
  <si>
    <t>CUADROS CHUCTAYA JHONNY</t>
  </si>
  <si>
    <t>043922</t>
  </si>
  <si>
    <t>V1B-678</t>
  </si>
  <si>
    <t>RIVAS RIEGA TEODORA VILMA</t>
  </si>
  <si>
    <t>079245</t>
  </si>
  <si>
    <t>B6W-154</t>
  </si>
  <si>
    <t>CUELA MORALES FERNANDO</t>
  </si>
  <si>
    <t>092776</t>
  </si>
  <si>
    <t>V2H-671</t>
  </si>
  <si>
    <t>VELARDE BENAVENTE EMANUEL</t>
  </si>
  <si>
    <t>091606</t>
  </si>
  <si>
    <t>V2V-634</t>
  </si>
  <si>
    <t>YAJO SAMATA MARCO DARWIN</t>
  </si>
  <si>
    <t>094536</t>
  </si>
  <si>
    <t>V5A-182</t>
  </si>
  <si>
    <t>VALENCIA SONCCO RECHARTHE</t>
  </si>
  <si>
    <t>102438</t>
  </si>
  <si>
    <t>A8F-722</t>
  </si>
  <si>
    <t>HUANCAHUIRI PEREZ FERNADO</t>
  </si>
  <si>
    <t>102417</t>
  </si>
  <si>
    <t>V6E-172</t>
  </si>
  <si>
    <t>CARLO HUAMAN AGUSTIN</t>
  </si>
  <si>
    <t>096367</t>
  </si>
  <si>
    <t>V1I-624</t>
  </si>
  <si>
    <t>PAREDES CHAVEZ NADYA</t>
  </si>
  <si>
    <t>TEJADA PINTO CLEOFE PATRICIA</t>
  </si>
  <si>
    <t>MANSILLA RAMIREZ AIDA CARMEN</t>
  </si>
  <si>
    <t>LUQUE HUAYNILLO ANGELA</t>
  </si>
  <si>
    <t>105274</t>
  </si>
  <si>
    <t>V1W-747</t>
  </si>
  <si>
    <t>YENE ALINA QUISPE RAQUEL</t>
  </si>
  <si>
    <t>094670</t>
  </si>
  <si>
    <t>V5C-177</t>
  </si>
  <si>
    <t>SALINAS FERNANDEZ JORGE</t>
  </si>
  <si>
    <t>091028</t>
  </si>
  <si>
    <t>V2X-466</t>
  </si>
  <si>
    <t>HANCCO CONDORI NEYMAR EDYMILSON</t>
  </si>
  <si>
    <t>099738</t>
  </si>
  <si>
    <t>ZEBALLOS HINOJOSA HANA</t>
  </si>
  <si>
    <t>096274</t>
  </si>
  <si>
    <t>V1Y-411</t>
  </si>
  <si>
    <t>MACHACA MACHACA RUTH</t>
  </si>
  <si>
    <t>VALBERDE CABALLERO MILUSCA</t>
  </si>
  <si>
    <t>FERNANDEZ BELLIDO AXEL</t>
  </si>
  <si>
    <t>ZEGARRA QUISPE DORIS</t>
  </si>
  <si>
    <t>093250</t>
  </si>
  <si>
    <t>V5U-341</t>
  </si>
  <si>
    <t>COSCO PINTO BILLY JOEL</t>
  </si>
  <si>
    <t>SAICO PAREDES GLADYS</t>
  </si>
  <si>
    <t>105477</t>
  </si>
  <si>
    <t>V5N-360</t>
  </si>
  <si>
    <t>CALDERON SANCHEZ ELICIA</t>
  </si>
  <si>
    <t>CORDERO SANCHEZ MARIA DEL PILAR</t>
  </si>
  <si>
    <t>110485</t>
  </si>
  <si>
    <t>V2V-579</t>
  </si>
  <si>
    <t>CATACHURA CERVANTES ELOY JORGE</t>
  </si>
  <si>
    <t>095894</t>
  </si>
  <si>
    <t>V3S-630</t>
  </si>
  <si>
    <t>HUACASI MAMANI MARIA ELENA</t>
  </si>
  <si>
    <t>091601</t>
  </si>
  <si>
    <t>V2N-621</t>
  </si>
  <si>
    <t>CCAMA NINA VICENTE</t>
  </si>
  <si>
    <t>093540</t>
  </si>
  <si>
    <t>D9C-737</t>
  </si>
  <si>
    <t>QUINTANILLA ALEGRIA MAGDALENA ROCIO</t>
  </si>
  <si>
    <t>092160</t>
  </si>
  <si>
    <t>V4D-046</t>
  </si>
  <si>
    <t>APAZA QUISPE VIDAL WILY</t>
  </si>
  <si>
    <t>095748</t>
  </si>
  <si>
    <t>FH-3839</t>
  </si>
  <si>
    <t>ALLASI MAMANI LUIS ANTONIO</t>
  </si>
  <si>
    <t>092786</t>
  </si>
  <si>
    <t>V2U-324</t>
  </si>
  <si>
    <t>BORDA PILCO LILIANA LIBERTAD</t>
  </si>
  <si>
    <t>091906</t>
  </si>
  <si>
    <t>A4W-740</t>
  </si>
  <si>
    <t>CALAPUJA VARGAS ROSA ALICIA</t>
  </si>
  <si>
    <t>092604</t>
  </si>
  <si>
    <t>V1W-759</t>
  </si>
  <si>
    <t>MENDEZ PALO FERNANDA LUCIA</t>
  </si>
  <si>
    <t>MENDEZ PALO FERNANDO</t>
  </si>
  <si>
    <t>VILCARANI ILACHOQUE, JOSHI</t>
  </si>
  <si>
    <t>COLQUE CACERES DANY LUZ</t>
  </si>
  <si>
    <t>ACERO VELASQUEZ JUAN ANDRES</t>
  </si>
  <si>
    <t>TORRES MAMANI DOMINGO NICOMEDES</t>
  </si>
  <si>
    <t>AZAREÑO ANAYA MAYURI</t>
  </si>
  <si>
    <t>110158</t>
  </si>
  <si>
    <t>V3X-553</t>
  </si>
  <si>
    <t>VARGAS DE ESCALANTE MARGARITA</t>
  </si>
  <si>
    <t>090436</t>
  </si>
  <si>
    <t>V5B-004</t>
  </si>
  <si>
    <t>SOTOMAYOR OSCA YESSICA JUANA</t>
  </si>
  <si>
    <t>104990</t>
  </si>
  <si>
    <t>B3O-952</t>
  </si>
  <si>
    <t>MOGROVEJO MONTOYA CLETY</t>
  </si>
  <si>
    <t>093797</t>
  </si>
  <si>
    <t>V3N-650</t>
  </si>
  <si>
    <t>CHARALLA GAMARRA SALOMON</t>
  </si>
  <si>
    <t>103397</t>
  </si>
  <si>
    <t>V5Q-588</t>
  </si>
  <si>
    <t>CONDORI LARA JULIO</t>
  </si>
  <si>
    <t>094867</t>
  </si>
  <si>
    <t>V1U-771</t>
  </si>
  <si>
    <t>SALINAS ZEBALLOS GREGORIO AMALIO</t>
  </si>
  <si>
    <t>CHAVEZ AROSTEGUI JUDI GABY</t>
  </si>
  <si>
    <t>111034</t>
  </si>
  <si>
    <t>V1D-753</t>
  </si>
  <si>
    <t>ROQUE ARAGON ANDRE</t>
  </si>
  <si>
    <t>ROQUE ARAGON ALEXANDER</t>
  </si>
  <si>
    <t>ARAGON SILVA JULISSA</t>
  </si>
  <si>
    <t>110733</t>
  </si>
  <si>
    <t>A4O-007</t>
  </si>
  <si>
    <t>MEZA MAMANI GEAN CARLOS ROBERTO</t>
  </si>
  <si>
    <t>085758</t>
  </si>
  <si>
    <t>C7H-302</t>
  </si>
  <si>
    <t>TORRES OSORIO ESTEBAN</t>
  </si>
  <si>
    <t>099293</t>
  </si>
  <si>
    <t>V5T-373</t>
  </si>
  <si>
    <t>MEZA BUSTINCIO FELICITAS</t>
  </si>
  <si>
    <t>AREQUIPA - AREQUIP</t>
  </si>
  <si>
    <t>KANA HUARACHA WILBER</t>
  </si>
  <si>
    <t>110605</t>
  </si>
  <si>
    <t>V5W-561</t>
  </si>
  <si>
    <t>ALVAREZ DE SARKCA MERCEDES</t>
  </si>
  <si>
    <t>CAMANA-AREQUIPA</t>
  </si>
  <si>
    <t>FERNANDEZ GARCIA LUANA</t>
  </si>
  <si>
    <t>DIAZ ASTETE CAROLINA</t>
  </si>
  <si>
    <t>GOÑI OVIEDO ARACELY PATRICIA</t>
  </si>
  <si>
    <t>098382</t>
  </si>
  <si>
    <t>096514</t>
  </si>
  <si>
    <t>098977</t>
  </si>
  <si>
    <t>100534</t>
  </si>
  <si>
    <t>112674</t>
  </si>
  <si>
    <t>100693</t>
  </si>
  <si>
    <t>103126</t>
  </si>
  <si>
    <t>110089</t>
  </si>
  <si>
    <t>103695</t>
  </si>
  <si>
    <t>102616</t>
  </si>
  <si>
    <t>112831</t>
  </si>
  <si>
    <t>100653</t>
  </si>
  <si>
    <t>100410</t>
  </si>
  <si>
    <t>111692</t>
  </si>
  <si>
    <t>090592</t>
  </si>
  <si>
    <t>101230</t>
  </si>
  <si>
    <t>075552</t>
  </si>
  <si>
    <t>076166</t>
  </si>
  <si>
    <t>095273</t>
  </si>
  <si>
    <t>D0L-117</t>
  </si>
  <si>
    <t>CIV-529</t>
  </si>
  <si>
    <t>V6M-259</t>
  </si>
  <si>
    <t>V5M-640</t>
  </si>
  <si>
    <t>V1B-720</t>
  </si>
  <si>
    <t>D4N-006</t>
  </si>
  <si>
    <t>V1G-195</t>
  </si>
  <si>
    <t>V2Y-105</t>
  </si>
  <si>
    <t>V2S-607</t>
  </si>
  <si>
    <t>V6F-051</t>
  </si>
  <si>
    <t>B7Z-156</t>
  </si>
  <si>
    <t>V1V-336</t>
  </si>
  <si>
    <t>V1E-726</t>
  </si>
  <si>
    <t>W2D-707</t>
  </si>
  <si>
    <t>X2V-691</t>
  </si>
  <si>
    <t>V7K-787</t>
  </si>
  <si>
    <t>V5B-403 (SH-4550)</t>
  </si>
  <si>
    <t>F6H-479</t>
  </si>
  <si>
    <t>C7H-750</t>
  </si>
  <si>
    <t>V2S-045</t>
  </si>
  <si>
    <t>B2E-755</t>
  </si>
  <si>
    <t>V5M-153</t>
  </si>
  <si>
    <t>GUTIERREZ PANIAGUA JUAN PABLO</t>
  </si>
  <si>
    <t>VASQUEZ HUAMAN BRONDOLF DUKKER</t>
  </si>
  <si>
    <t>HUAMAN GUTIERREZ YESICA REINA</t>
  </si>
  <si>
    <t>GUTIERREZ MENDOZA LUIS ANGEL</t>
  </si>
  <si>
    <t>PEREZ PEZO CHRISTIAN</t>
  </si>
  <si>
    <t>CHOQUEHUANCA FLORES MARA</t>
  </si>
  <si>
    <t>AÑACATA CHOQUEHUANCA ROMINA ANDREA</t>
  </si>
  <si>
    <t>FERNANDEZ MENDIGURE YOLA</t>
  </si>
  <si>
    <t>GUTIERREZ VILCA XIOMARA</t>
  </si>
  <si>
    <t>VILCA FERNANDEZ DALILA</t>
  </si>
  <si>
    <t>TIZNADO GARCIA HIPOLITO</t>
  </si>
  <si>
    <t>GAMERO HERRERA JOSE ANTONIO</t>
  </si>
  <si>
    <t>UGARTE LOPEZ ANTONIO</t>
  </si>
  <si>
    <t>BENAVENTE SANCHEZ JESUS</t>
  </si>
  <si>
    <t>VALERIANO CCUNO NATIVIDAD</t>
  </si>
  <si>
    <t>SEJJE TARUCA JUAN</t>
  </si>
  <si>
    <t>TARUCA FLORES ANA LUZ</t>
  </si>
  <si>
    <t>SOLIS TACO ELIAS</t>
  </si>
  <si>
    <t>ORTIZ ANCCO FREDY</t>
  </si>
  <si>
    <t>ORTIZ QUISPE GUSTAVO</t>
  </si>
  <si>
    <t>QUISPE CALSINA OLGA</t>
  </si>
  <si>
    <t>LOPINTA CCOLQQUE SUSANA</t>
  </si>
  <si>
    <t>BERNAL GUTIERREZ ROLANDO ROBERTO CARLOS</t>
  </si>
  <si>
    <t>CONDORI SEBACOLLO EDGAR RAFAEL</t>
  </si>
  <si>
    <t>HUAYHUA HUANCA ELOY HILARIO</t>
  </si>
  <si>
    <t>VILLAFUERTE DALGUERRE ANA MARIA</t>
  </si>
  <si>
    <t>ARANA VASQUEZ JEANNETTE</t>
  </si>
  <si>
    <t>SALAS PARIONA NORMA</t>
  </si>
  <si>
    <t>ARAPA GOYZUETA JHON</t>
  </si>
  <si>
    <t>BARRIOS LOPEZ TERESA</t>
  </si>
  <si>
    <t>HUAMANI CUSIATAN YENY</t>
  </si>
  <si>
    <t>YUCRA ANAYA DAYANNA NATHANIEL</t>
  </si>
  <si>
    <t>JIMENEZ CABALLERO VIVIANA</t>
  </si>
  <si>
    <t>BRILLANTE PEÑA YLIA ROSAURA</t>
  </si>
  <si>
    <t>CHIRINOS MONTES PABLO BENJAMIN</t>
  </si>
  <si>
    <t>MONTESINOS LAURA NADINE</t>
  </si>
  <si>
    <t>MIRANDA QUISPE ISIDORA</t>
  </si>
  <si>
    <t>MENDOZA CONDORI JUAN MANUEL</t>
  </si>
  <si>
    <t>VALDIVIA VALDIVIA YENSI</t>
  </si>
  <si>
    <t>ANCO MEZA ANTONIETA</t>
  </si>
  <si>
    <t>VASQUEZ PONCE ALEXANDRA</t>
  </si>
  <si>
    <t>095171</t>
  </si>
  <si>
    <t>V1-6981</t>
  </si>
  <si>
    <t>GUTIERREZ CARI RENZO FERNANDO</t>
  </si>
  <si>
    <t>111067</t>
  </si>
  <si>
    <t>V3Q-613</t>
  </si>
  <si>
    <t>CHOQUEHUANCA CHURA JUDITH ADELIN</t>
  </si>
  <si>
    <t>CHURA RIVERA GABINA</t>
  </si>
  <si>
    <t>096137</t>
  </si>
  <si>
    <t>V2N-592</t>
  </si>
  <si>
    <t>TORO MAMANI CARLOS</t>
  </si>
  <si>
    <t>QUISPE QUISPE ANALEY</t>
  </si>
  <si>
    <t>MUCHICA BENAVENTE CARLOS DONATO</t>
  </si>
  <si>
    <t>ROCA PILLACA ASHLEY</t>
  </si>
  <si>
    <t>PILLACA MITRA LILIANA</t>
  </si>
  <si>
    <t>PEREZ VELASQUEZ OTILIA</t>
  </si>
  <si>
    <t>091716</t>
  </si>
  <si>
    <t>V4E-396</t>
  </si>
  <si>
    <t>BERNAL CHECCA JUAN DONATO</t>
  </si>
  <si>
    <t>102482</t>
  </si>
  <si>
    <t>B8C-192</t>
  </si>
  <si>
    <t>MONTES MOLINA ELIAQUIN</t>
  </si>
  <si>
    <t>095270</t>
  </si>
  <si>
    <t>V5L-594</t>
  </si>
  <si>
    <t>CONDORI MANGO FELICITAS</t>
  </si>
  <si>
    <t>100873</t>
  </si>
  <si>
    <t>B8R-774</t>
  </si>
  <si>
    <t>OBANDO MEDINA CARLOS EDUARDO</t>
  </si>
  <si>
    <t>096653</t>
  </si>
  <si>
    <t>V3F-158</t>
  </si>
  <si>
    <t>CAYLLOMA-AREQUIPA</t>
  </si>
  <si>
    <t>TICAHUANCA QUISPE DANY MORI</t>
  </si>
  <si>
    <t>QUISPE YANA MAURICIA</t>
  </si>
  <si>
    <t>PACHECO CCAPA JONATHAN RAY</t>
  </si>
  <si>
    <t>LAZARO ROSAS SERGIO</t>
  </si>
  <si>
    <t>PACORI FIGUEROA JOSE</t>
  </si>
  <si>
    <t>MENDOZA PFOCORI WILMAR</t>
  </si>
  <si>
    <t>PAZ CASAPIA TERESA</t>
  </si>
  <si>
    <t>DELGADO SILVA GREGORY ALEXANDER</t>
  </si>
  <si>
    <t>104408</t>
  </si>
  <si>
    <t>103131</t>
  </si>
  <si>
    <t>099468</t>
  </si>
  <si>
    <t>096603</t>
  </si>
  <si>
    <t>099103</t>
  </si>
  <si>
    <t>103947</t>
  </si>
  <si>
    <t>104912</t>
  </si>
  <si>
    <t>093027</t>
  </si>
  <si>
    <t>094493</t>
  </si>
  <si>
    <t>100166</t>
  </si>
  <si>
    <t>110228</t>
  </si>
  <si>
    <t>097987</t>
  </si>
  <si>
    <t>064865</t>
  </si>
  <si>
    <t>111746</t>
  </si>
  <si>
    <t>111025</t>
  </si>
  <si>
    <t>B8J-348</t>
  </si>
  <si>
    <t>C4D-666</t>
  </si>
  <si>
    <t>Z1V-744</t>
  </si>
  <si>
    <t>V6A-375</t>
  </si>
  <si>
    <t>V4A-761</t>
  </si>
  <si>
    <t>V4Q-246</t>
  </si>
  <si>
    <t>V1G-716</t>
  </si>
  <si>
    <t>V4F-644</t>
  </si>
  <si>
    <t>V3R-348</t>
  </si>
  <si>
    <t>V3E-290</t>
  </si>
  <si>
    <t>V5Q-505</t>
  </si>
  <si>
    <t>TH-3240</t>
  </si>
  <si>
    <t>V2P-602</t>
  </si>
  <si>
    <t>V2X-135</t>
  </si>
  <si>
    <t>ROJAS VALDEZ PERCY BERTIN</t>
  </si>
  <si>
    <t>PEREZ ADCO RENE FERNANDO</t>
  </si>
  <si>
    <t>CALCINA HUAMAN ALEX MANUEL</t>
  </si>
  <si>
    <t>ZEA DELGADO MARIA ISABEL</t>
  </si>
  <si>
    <t>VALDIVIA LOVON ROBERTO FAVIAN</t>
  </si>
  <si>
    <t>APAZA MAMANI ANGEL VICTOR</t>
  </si>
  <si>
    <t>GONZA MAMANI EDGAR IGNACIO</t>
  </si>
  <si>
    <t>GONZA ATASI KATTY</t>
  </si>
  <si>
    <t>LEON AQUINO CHRISTIAN</t>
  </si>
  <si>
    <t>LOPEZ BARRIOS WASHINGTON</t>
  </si>
  <si>
    <t>RAMOS HUAMANI KENDRIX</t>
  </si>
  <si>
    <t>ROJAS OCOLA MELINA MIGUELINA</t>
  </si>
  <si>
    <t>HUAMANI ROJAS CINDY</t>
  </si>
  <si>
    <t>NEGRON CURAY HAYDEE</t>
  </si>
  <si>
    <t>CONDORI CCOHUA JUSTINA</t>
  </si>
  <si>
    <t>HUACARPUMA HUALLAPI HERLINDA</t>
  </si>
  <si>
    <t>MENDOZA MAMANI CARLOS JESUS</t>
  </si>
  <si>
    <t>CHOQUE CACERES OCTAVIO</t>
  </si>
  <si>
    <t>QUISPE ALVIS HERNAN</t>
  </si>
  <si>
    <t>TORRES COSSIO PEDRO RAMIRO</t>
  </si>
  <si>
    <t>MAMANI MACHACA FRANK MANUEL</t>
  </si>
  <si>
    <t xml:space="preserve">VALDIVIA GANOZA FABIAN </t>
  </si>
  <si>
    <t>HUARACHA CCAPPA SALUSTIANO ELADIO</t>
  </si>
  <si>
    <t>FLORES QUENTA KELVIN</t>
  </si>
  <si>
    <t>SANTOS QUENTA TAYLOR</t>
  </si>
  <si>
    <t>QUENTA MAMANI KARELIA GLENI</t>
  </si>
  <si>
    <t>CALCINA LIMA ROGER</t>
  </si>
  <si>
    <t>AREQUIPA-ISLAY</t>
  </si>
  <si>
    <t>CESPEDES CERVANTAS, ADOLFO MARTIN</t>
  </si>
  <si>
    <t>LAMA ANDRADE, KRISTEL MELISSA</t>
  </si>
  <si>
    <t>MENDOZA COILA, DEMETRIO CARLOS</t>
  </si>
  <si>
    <t>VILCA CCASA VICTORIANO</t>
  </si>
  <si>
    <t>APFATA CHAHUAYO CECILIA</t>
  </si>
  <si>
    <t>IGNACIO APFATA LEONARDO</t>
  </si>
  <si>
    <t>IGNACIO APFATA LEONELLA</t>
  </si>
  <si>
    <t>MARIN APAZA WENDY NILVER</t>
  </si>
  <si>
    <t>MONTANCHEZ CCAHUA LUIS ANTONIO</t>
  </si>
  <si>
    <t>QUILLA CHOQUE CARMEN</t>
  </si>
  <si>
    <t>TICONA QUISPE LUIS</t>
  </si>
  <si>
    <t>ZELA GUTIERREZ MARSHURY</t>
  </si>
  <si>
    <t>112519</t>
  </si>
  <si>
    <t>093668</t>
  </si>
  <si>
    <t>104302</t>
  </si>
  <si>
    <t>098695</t>
  </si>
  <si>
    <t>101894</t>
  </si>
  <si>
    <t>113545</t>
  </si>
  <si>
    <t>097946</t>
  </si>
  <si>
    <t>095414</t>
  </si>
  <si>
    <t>095271</t>
  </si>
  <si>
    <t>102939</t>
  </si>
  <si>
    <t>096635</t>
  </si>
  <si>
    <t>098331</t>
  </si>
  <si>
    <t>103132</t>
  </si>
  <si>
    <t>092141</t>
  </si>
  <si>
    <t>113027</t>
  </si>
  <si>
    <t>102785</t>
  </si>
  <si>
    <t>094893</t>
  </si>
  <si>
    <t>V3W-591</t>
  </si>
  <si>
    <t>V3Q-300</t>
  </si>
  <si>
    <t>A1V-718</t>
  </si>
  <si>
    <t>Z2X-728</t>
  </si>
  <si>
    <t>V6F-240</t>
  </si>
  <si>
    <t>V4W-240</t>
  </si>
  <si>
    <t>V5I-234</t>
  </si>
  <si>
    <t>V2M-205</t>
  </si>
  <si>
    <t>CP-4178</t>
  </si>
  <si>
    <t>V6H-269</t>
  </si>
  <si>
    <t>V2H-649</t>
  </si>
  <si>
    <t>V3J-276</t>
  </si>
  <si>
    <t>Z1C-738</t>
  </si>
  <si>
    <t>V1X-627</t>
  </si>
  <si>
    <t>V5G-229</t>
  </si>
  <si>
    <t>V6H-565</t>
  </si>
  <si>
    <t>EH-8882</t>
  </si>
  <si>
    <t>MAMANI HUAYNACHAMPI EDWIN</t>
  </si>
  <si>
    <t>LAZARO TINTAYA ROBERTO CARLOS</t>
  </si>
  <si>
    <t>HUAMANI TINTAYA SOCRATES RAFAEL</t>
  </si>
  <si>
    <t>FLORES MENESES JULIA</t>
  </si>
  <si>
    <t>PEREZ CALLO ALEXANDRA</t>
  </si>
  <si>
    <t>CHOQUE QUISPE SOCORRO ISABEL</t>
  </si>
  <si>
    <t>GONZALES FERNANDEZ HILDAURA AMALIA</t>
  </si>
  <si>
    <t>QUISPE BLANCO LENA MABEL</t>
  </si>
  <si>
    <t>SOSA LAZO JULIO</t>
  </si>
  <si>
    <t>VALDIVIA MENDOZA EDGAR LUZGARDO</t>
  </si>
  <si>
    <t>RAMOS QUISPE JHONATAN ARMANDO</t>
  </si>
  <si>
    <t>LARICO RIQUELME NATALI REYNA</t>
  </si>
  <si>
    <t>VILCA MACEDO DORIAN</t>
  </si>
  <si>
    <t>CONDORI SULLA PRISCILA</t>
  </si>
  <si>
    <t>COAGUILA VALDIVIA  JAVIER ARTURO</t>
  </si>
  <si>
    <t>SALAZAR RODRIGUEZ KATERINE</t>
  </si>
  <si>
    <t>ZAMUDIO FLORES NELLY KREYMER</t>
  </si>
  <si>
    <t>CALDERON CHAPARRO ENRIQUE</t>
  </si>
  <si>
    <t>CHUMBES HUAYLLANI GUILLERMO</t>
  </si>
  <si>
    <t>TURPO MAMANI VICTORIA</t>
  </si>
  <si>
    <t>NINA PAREJA PEDRO ALBERTO</t>
  </si>
  <si>
    <t>SOTO CORONEL DAMIANA ROSARIO</t>
  </si>
  <si>
    <t>CASA HUAMANI MARIA DEL PILAR</t>
  </si>
  <si>
    <t>TTACCA APAZA SONIA</t>
  </si>
  <si>
    <t>CALLATA ALARCON LORENA</t>
  </si>
  <si>
    <t>ESPINOZA CASTRO JUAN CARLOS</t>
  </si>
  <si>
    <t>BEGAZO TITO FAVIO VICTOR</t>
  </si>
  <si>
    <t>SUTA BOBADILLA JONATHAN</t>
  </si>
  <si>
    <t>CAHUAPAZA OSORIO CHRISTIAN</t>
  </si>
  <si>
    <t>FERRO GUILLEN, LIDIA</t>
  </si>
  <si>
    <t>CHOQUEHUANCA CHOQUEPUMA JENIFER</t>
  </si>
  <si>
    <t>MEZA CALAPUJA MIREYA</t>
  </si>
  <si>
    <t>YARETA CAJIA FERNANDO</t>
  </si>
  <si>
    <t>BENITO TASO ANDREA</t>
  </si>
  <si>
    <t>KCACHA ALVARO ROLANDO</t>
  </si>
  <si>
    <t>RAMOS ARANZAMENDI GABRIELA</t>
  </si>
  <si>
    <t>RAMOS ARANZAMENDI MARIA SALOME</t>
  </si>
  <si>
    <t>ARANZAMENDI GARCIA YURI GANDHY</t>
  </si>
  <si>
    <t>OXA HUAMANI ENMANUEL</t>
  </si>
  <si>
    <t>COSI ZANABRIA ERICK</t>
  </si>
  <si>
    <t>QUISPE CHARAJA ALESANDRA</t>
  </si>
  <si>
    <t>SANGA PUMA DIEGO STEVEN</t>
  </si>
  <si>
    <t>MESTAS PAREDES KAROL</t>
  </si>
  <si>
    <t>CACERES CASTILLO MIGUEL</t>
  </si>
  <si>
    <t>ASTULLE TICONA ELOY</t>
  </si>
  <si>
    <t>PUMA CALLO DINA FABIOLA</t>
  </si>
  <si>
    <t>ASTULLE PUMA TAYT YASURI</t>
  </si>
  <si>
    <t>ASTULLE PUMA AMELY MAYDER</t>
  </si>
  <si>
    <t>BELLOTA AIMITOMA MANUEL ARTURO</t>
  </si>
  <si>
    <t>JOVE JARATA DEYVIS</t>
  </si>
  <si>
    <t>JARATA CALCINA MARIBEL</t>
  </si>
  <si>
    <t>JOVE JARATA GERALDINE</t>
  </si>
  <si>
    <t>JOVE SUCARI DAVID</t>
  </si>
  <si>
    <t>RAMIREZ CARDOZO MARIA DEL CARMEN</t>
  </si>
  <si>
    <t>HUANCA ROJO YOLANDA</t>
  </si>
  <si>
    <t>TORRAICONZA CARRASCO MIGUEL</t>
  </si>
  <si>
    <t>HUERTAS DE BERENGUEL MARLENE</t>
  </si>
  <si>
    <t>CHAVEZ LOZADA LIZETH VERONICA</t>
  </si>
  <si>
    <t>NAVENTA HUASHUAYO EZEQUIEL MARIO</t>
  </si>
  <si>
    <t>COLQUE BARREDA ANTONIO</t>
  </si>
  <si>
    <t>TICONA MAMANI DELIA</t>
  </si>
  <si>
    <t>GALLEGOS TINTA YESICA MELANIE</t>
  </si>
  <si>
    <t>GUEVARA ORTIZ ANTONY</t>
  </si>
  <si>
    <t>SUCLLA QUISPE MARLENY</t>
  </si>
  <si>
    <t>PAREDES CARDENAS MELISSA</t>
  </si>
  <si>
    <t>AYALA SOTO BRIGIDA</t>
  </si>
  <si>
    <t>TAHAR RADIM</t>
  </si>
  <si>
    <t>LEON POMA EDWIN JUNIOR</t>
  </si>
  <si>
    <t>SILVA ZEVALLOS MICAELA ALEJANDRA</t>
  </si>
  <si>
    <t>112147</t>
  </si>
  <si>
    <t>V6N-431</t>
  </si>
  <si>
    <t>112103</t>
  </si>
  <si>
    <t>V6N-030</t>
  </si>
  <si>
    <t>101491</t>
  </si>
  <si>
    <t>V2A-774</t>
  </si>
  <si>
    <t>104829</t>
  </si>
  <si>
    <t>V1Q-113</t>
  </si>
  <si>
    <t>112811</t>
  </si>
  <si>
    <t>V5Q-503</t>
  </si>
  <si>
    <t>097663</t>
  </si>
  <si>
    <t>B9S-450</t>
  </si>
  <si>
    <t>105236</t>
  </si>
  <si>
    <t>AAT-362</t>
  </si>
  <si>
    <t>113153</t>
  </si>
  <si>
    <t>111011</t>
  </si>
  <si>
    <t>V3Y-568</t>
  </si>
  <si>
    <t>094549</t>
  </si>
  <si>
    <t>TH-1985(V6P-445)</t>
  </si>
  <si>
    <t>105870</t>
  </si>
  <si>
    <t>V1U-033</t>
  </si>
  <si>
    <t>103800</t>
  </si>
  <si>
    <t>A4C-755</t>
  </si>
  <si>
    <t>092615</t>
  </si>
  <si>
    <t>V1F-231</t>
  </si>
  <si>
    <t>101729</t>
  </si>
  <si>
    <t>V4A-331</t>
  </si>
  <si>
    <t>096577</t>
  </si>
  <si>
    <t>V5B-130</t>
  </si>
  <si>
    <t>096109</t>
  </si>
  <si>
    <t>V3F-463</t>
  </si>
  <si>
    <t>110870</t>
  </si>
  <si>
    <t>V5A-380</t>
  </si>
  <si>
    <t>096227</t>
  </si>
  <si>
    <t>FH-6786</t>
  </si>
  <si>
    <t>093837</t>
  </si>
  <si>
    <t>V5D-362</t>
  </si>
  <si>
    <t>102679</t>
  </si>
  <si>
    <t>V5X-583</t>
  </si>
  <si>
    <t>112227</t>
  </si>
  <si>
    <t>099728</t>
  </si>
  <si>
    <t>B4D-215</t>
  </si>
  <si>
    <t>093892</t>
  </si>
  <si>
    <t>V4O-171</t>
  </si>
  <si>
    <t>CARLO APAZA, CARLOS</t>
  </si>
  <si>
    <t>QUICO HUMPIRE EDITH</t>
  </si>
  <si>
    <t>113882</t>
  </si>
  <si>
    <t>102333</t>
  </si>
  <si>
    <t>106134</t>
  </si>
  <si>
    <t>114404</t>
  </si>
  <si>
    <t>097389</t>
  </si>
  <si>
    <t>114090</t>
  </si>
  <si>
    <t>113155</t>
  </si>
  <si>
    <t>101007</t>
  </si>
  <si>
    <t>112191</t>
  </si>
  <si>
    <t>112161</t>
  </si>
  <si>
    <t>092703</t>
  </si>
  <si>
    <t>097269</t>
  </si>
  <si>
    <t>092737</t>
  </si>
  <si>
    <t>101558</t>
  </si>
  <si>
    <t>097217</t>
  </si>
  <si>
    <t>099718</t>
  </si>
  <si>
    <t>110767</t>
  </si>
  <si>
    <t>110971</t>
  </si>
  <si>
    <t>103853</t>
  </si>
  <si>
    <t>098358</t>
  </si>
  <si>
    <t>106005</t>
  </si>
  <si>
    <t>100093</t>
  </si>
  <si>
    <t>092599</t>
  </si>
  <si>
    <t>112792</t>
  </si>
  <si>
    <t>104790</t>
  </si>
  <si>
    <t>099807</t>
  </si>
  <si>
    <t>110780</t>
  </si>
  <si>
    <t>112713</t>
  </si>
  <si>
    <t>110860</t>
  </si>
  <si>
    <t>093181</t>
  </si>
  <si>
    <t>100938</t>
  </si>
  <si>
    <t>097521</t>
  </si>
  <si>
    <t>DH-9485</t>
  </si>
  <si>
    <t>C8I-124</t>
  </si>
  <si>
    <t>P1B-767</t>
  </si>
  <si>
    <t>V1Y-582</t>
  </si>
  <si>
    <t>A5X-336</t>
  </si>
  <si>
    <t>V3A-300</t>
  </si>
  <si>
    <t>V2Y-672</t>
  </si>
  <si>
    <t>Z2P-785</t>
  </si>
  <si>
    <t>V3P-597</t>
  </si>
  <si>
    <t>V2V-092</t>
  </si>
  <si>
    <t>2513-5B</t>
  </si>
  <si>
    <t>TQ-5884</t>
  </si>
  <si>
    <t>V3M-192</t>
  </si>
  <si>
    <t>V4X-307</t>
  </si>
  <si>
    <t>V2M-682</t>
  </si>
  <si>
    <t>C2U-693</t>
  </si>
  <si>
    <t>V5S-475</t>
  </si>
  <si>
    <t>V6L-472</t>
  </si>
  <si>
    <t>V2T-238</t>
  </si>
  <si>
    <t>V6G-604</t>
  </si>
  <si>
    <t>V5S-340</t>
  </si>
  <si>
    <t>V5O-128</t>
  </si>
  <si>
    <t>B1A-736</t>
  </si>
  <si>
    <t>W1O-428</t>
  </si>
  <si>
    <t>V2S-221</t>
  </si>
  <si>
    <t>FH-2176</t>
  </si>
  <si>
    <t>V6K-282</t>
  </si>
  <si>
    <t>EH-7573</t>
  </si>
  <si>
    <t>GH-1229</t>
  </si>
  <si>
    <t>D2P-283</t>
  </si>
  <si>
    <t>HUERTAS VARGAS CHRISTOPHER AARON</t>
  </si>
  <si>
    <t>HUERTAS BARREDA AURELIO</t>
  </si>
  <si>
    <t>RIEGA CRUZ JOSE ANTONIO</t>
  </si>
  <si>
    <t>CACERES DUEÑAS PLUSIA FELIX</t>
  </si>
  <si>
    <t>TOBAR DE FLORES JESUS</t>
  </si>
  <si>
    <t>TILCA HUACHANI GERALDINE</t>
  </si>
  <si>
    <t>BALDARRAGO QUISPE YOMARA MALU</t>
  </si>
  <si>
    <t>YUCRA MAMANI ELOY FELIX</t>
  </si>
  <si>
    <t>SALAS PRADO MARTA ISABEL</t>
  </si>
  <si>
    <t>CHINO HUARICALLO IVAN</t>
  </si>
  <si>
    <t>NINA PFUTURI EDGAR</t>
  </si>
  <si>
    <t>DEL CARPIO MARTINEZ NERI</t>
  </si>
  <si>
    <t>YUCRA ZEVALLOS BTHEIANA ZULE</t>
  </si>
  <si>
    <t>MAMANI ZAPATA ERNESTO MATEO</t>
  </si>
  <si>
    <t>TICLLA CARMAGO REYNA</t>
  </si>
  <si>
    <t>MEDINA AÑASCO REGINA</t>
  </si>
  <si>
    <t>FERNANDEZ HUAMANCHURO MIGUEL</t>
  </si>
  <si>
    <t>LAROTA GOMEZ EDUARDO</t>
  </si>
  <si>
    <t>PACO APAZA EUSEBIA</t>
  </si>
  <si>
    <t>DOÑEZ CALCINA DIEGO JONATHAN</t>
  </si>
  <si>
    <t>MAMANI QUISPE JOSE ANTONIO</t>
  </si>
  <si>
    <t>CORDERO MENDOZA NATIVIDAD</t>
  </si>
  <si>
    <t>COYATUPAC FERNANDEZ JUANA EVANGELINA</t>
  </si>
  <si>
    <t>QUISPE CHURA MARIA ASUNCION</t>
  </si>
  <si>
    <t>YUPO ARNAO ELOGIA</t>
  </si>
  <si>
    <t>TRONCOSO  VELASQUEZ SIXTO</t>
  </si>
  <si>
    <t>MENDOZA CACERES LEONARDO</t>
  </si>
  <si>
    <t>COATA TICONA LIDIA</t>
  </si>
  <si>
    <t>UMPIRE VIENER EVELYN</t>
  </si>
  <si>
    <t>NAVINTA CHIRINOS SEBASTIAN</t>
  </si>
  <si>
    <t>MEDINA BETETA LUZ</t>
  </si>
  <si>
    <t>ALCA SAP FELIX</t>
  </si>
  <si>
    <t>MARCOS MEDINA MAUEL</t>
  </si>
  <si>
    <t>DIAZ APAZA ERICK GIANCARLO</t>
  </si>
  <si>
    <t>APAZA MAMANI JOANN MARIE</t>
  </si>
  <si>
    <t>HUARANGA CCAMA RENE</t>
  </si>
  <si>
    <t>RAMOS AMONES JULIO</t>
  </si>
  <si>
    <t>ARENAS ALE OSCAR</t>
  </si>
  <si>
    <t>ARONES COAGUILA ERNESTINA</t>
  </si>
  <si>
    <t>ZEVALLOS CHICCHIAPAZA HILDA</t>
  </si>
  <si>
    <t>098394</t>
  </si>
  <si>
    <t>111878</t>
  </si>
  <si>
    <t>092808</t>
  </si>
  <si>
    <t>093297</t>
  </si>
  <si>
    <t>113283</t>
  </si>
  <si>
    <t>103657</t>
  </si>
  <si>
    <t>104217</t>
  </si>
  <si>
    <t>101097</t>
  </si>
  <si>
    <t>111526</t>
  </si>
  <si>
    <t>100370</t>
  </si>
  <si>
    <t>110316</t>
  </si>
  <si>
    <t>114809</t>
  </si>
  <si>
    <t>V6M-593</t>
  </si>
  <si>
    <t>V4Y-063</t>
  </si>
  <si>
    <t>0536-2M</t>
  </si>
  <si>
    <t>3417-2M</t>
  </si>
  <si>
    <t>V2X-023</t>
  </si>
  <si>
    <t>V1T-540</t>
  </si>
  <si>
    <t>V1U-392</t>
  </si>
  <si>
    <t>Z0K-959</t>
  </si>
  <si>
    <t>V7C-926</t>
  </si>
  <si>
    <t>V6J-211</t>
  </si>
  <si>
    <t>LEON HUACHO KATHERINE MARICARMEN</t>
  </si>
  <si>
    <t>PAZ MORALES BARLOW</t>
  </si>
  <si>
    <t>ORTIZ DELGADO MILAGROS PAOLA</t>
  </si>
  <si>
    <t>CANAZA CCAHUA CESAR</t>
  </si>
  <si>
    <t>SUCARI CONDORI KELLY RUTH</t>
  </si>
  <si>
    <t>SUCARI QUISPE HAYDEE</t>
  </si>
  <si>
    <t>SUCARI CONDORI JULI NATALIA</t>
  </si>
  <si>
    <t>PAREDES ALVAREZ OMAR ALEXANDER</t>
  </si>
  <si>
    <t>CHAHUAYA ÑAHUI MARIA ROSALINA</t>
  </si>
  <si>
    <t>CHAHUAYA ÑAHUI MARGOT</t>
  </si>
  <si>
    <t>VALDIVIA BASURCO RAUL</t>
  </si>
  <si>
    <t>DIAZ CORIMANYA SOILA</t>
  </si>
  <si>
    <t>POMA DIAZ EPIFANIA</t>
  </si>
  <si>
    <t>POMA DIAZ WILLIAN FELIZ</t>
  </si>
  <si>
    <t>PALOMINO SALAZAR TOMAS</t>
  </si>
  <si>
    <t>AQQUEPUCHO LUPO ROXANA</t>
  </si>
  <si>
    <t>OROZCO HUARSAYA GERARDO</t>
  </si>
  <si>
    <t>FLORES LAURA IBO YOEL</t>
  </si>
  <si>
    <t>MERMA VALVERDE MARCOS</t>
  </si>
  <si>
    <t>MAMANI CCANCCAPA, JOSE</t>
  </si>
  <si>
    <t>YUCRA MORALES CARLOS</t>
  </si>
  <si>
    <t>NEYRA HUAMANI ANGELA</t>
  </si>
  <si>
    <t>SOTO AGUILAR MANUELA</t>
  </si>
  <si>
    <t>104351</t>
  </si>
  <si>
    <t>115195</t>
  </si>
  <si>
    <t>114805</t>
  </si>
  <si>
    <t>101609</t>
  </si>
  <si>
    <t>110211</t>
  </si>
  <si>
    <t>110594</t>
  </si>
  <si>
    <t>114137</t>
  </si>
  <si>
    <t>092833</t>
  </si>
  <si>
    <t>104229</t>
  </si>
  <si>
    <t>093482</t>
  </si>
  <si>
    <t>098541</t>
  </si>
  <si>
    <t>098999</t>
  </si>
  <si>
    <t>103655</t>
  </si>
  <si>
    <t>094931</t>
  </si>
  <si>
    <t>094929</t>
  </si>
  <si>
    <t>104521</t>
  </si>
  <si>
    <t>112348</t>
  </si>
  <si>
    <t>093359</t>
  </si>
  <si>
    <t>114422</t>
  </si>
  <si>
    <t>094463</t>
  </si>
  <si>
    <t>103171</t>
  </si>
  <si>
    <t>104764</t>
  </si>
  <si>
    <t>093400</t>
  </si>
  <si>
    <t>104969</t>
  </si>
  <si>
    <t>110706</t>
  </si>
  <si>
    <t>103522</t>
  </si>
  <si>
    <t>102519</t>
  </si>
  <si>
    <t>114155</t>
  </si>
  <si>
    <t>094479</t>
  </si>
  <si>
    <t>101676</t>
  </si>
  <si>
    <t>099289</t>
  </si>
  <si>
    <t>115216</t>
  </si>
  <si>
    <t>094971</t>
  </si>
  <si>
    <t>093737</t>
  </si>
  <si>
    <t>111039</t>
  </si>
  <si>
    <t>112742</t>
  </si>
  <si>
    <t>116314</t>
  </si>
  <si>
    <t>100925</t>
  </si>
  <si>
    <t>103421</t>
  </si>
  <si>
    <t>114085</t>
  </si>
  <si>
    <t>116583</t>
  </si>
  <si>
    <t>115073</t>
  </si>
  <si>
    <t>114318</t>
  </si>
  <si>
    <t>101359</t>
  </si>
  <si>
    <t>104285</t>
  </si>
  <si>
    <t>094754</t>
  </si>
  <si>
    <t>115633</t>
  </si>
  <si>
    <t>106418</t>
  </si>
  <si>
    <t>103539</t>
  </si>
  <si>
    <t>106101</t>
  </si>
  <si>
    <t>118354</t>
  </si>
  <si>
    <t>114572</t>
  </si>
  <si>
    <t>110436</t>
  </si>
  <si>
    <t>092515</t>
  </si>
  <si>
    <t>111981</t>
  </si>
  <si>
    <t>116317</t>
  </si>
  <si>
    <t>116217</t>
  </si>
  <si>
    <t>110176</t>
  </si>
  <si>
    <t>100547</t>
  </si>
  <si>
    <t>117896</t>
  </si>
  <si>
    <t>101949</t>
  </si>
  <si>
    <t>111467</t>
  </si>
  <si>
    <t>094301</t>
  </si>
  <si>
    <t>116143</t>
  </si>
  <si>
    <t>113146</t>
  </si>
  <si>
    <t>102102</t>
  </si>
  <si>
    <t>114682</t>
  </si>
  <si>
    <t>104831</t>
  </si>
  <si>
    <t>103937</t>
  </si>
  <si>
    <t>A8R-153</t>
  </si>
  <si>
    <t>V6E-695</t>
  </si>
  <si>
    <t>V2I-611</t>
  </si>
  <si>
    <t>V4F-031</t>
  </si>
  <si>
    <t>V4G-105</t>
  </si>
  <si>
    <t>V1V-044</t>
  </si>
  <si>
    <t>V1P-228</t>
  </si>
  <si>
    <t>W2E-721</t>
  </si>
  <si>
    <t>V4I-467</t>
  </si>
  <si>
    <t>V1Y-684</t>
  </si>
  <si>
    <t>V4G-483</t>
  </si>
  <si>
    <t>V5X-435</t>
  </si>
  <si>
    <t>V1S-190</t>
  </si>
  <si>
    <t>V4X-154</t>
  </si>
  <si>
    <t>C8K-085</t>
  </si>
  <si>
    <t>D6U-595</t>
  </si>
  <si>
    <t>V3Y-291</t>
  </si>
  <si>
    <t>V5B-649</t>
  </si>
  <si>
    <t>B3V-779</t>
  </si>
  <si>
    <t>EH-6626 (V5V-598)</t>
  </si>
  <si>
    <t>V5A-354</t>
  </si>
  <si>
    <t>FH-6442 (V6M-264)</t>
  </si>
  <si>
    <t>V3X-132</t>
  </si>
  <si>
    <t>C71476</t>
  </si>
  <si>
    <t>V4V-562</t>
  </si>
  <si>
    <t>V5U-470</t>
  </si>
  <si>
    <t>V5S-002</t>
  </si>
  <si>
    <t>V4N-587</t>
  </si>
  <si>
    <t>V3E-681</t>
  </si>
  <si>
    <t>A7V-429</t>
  </si>
  <si>
    <t>V5M-195</t>
  </si>
  <si>
    <t>D0U-119</t>
  </si>
  <si>
    <t>BF-1839</t>
  </si>
  <si>
    <t>V4J-437</t>
  </si>
  <si>
    <t>V3Q-436</t>
  </si>
  <si>
    <t>V3A-056</t>
  </si>
  <si>
    <t>V1A-528</t>
  </si>
  <si>
    <t>V3G-240</t>
  </si>
  <si>
    <t>1577-3M</t>
  </si>
  <si>
    <t>B3O-706</t>
  </si>
  <si>
    <t>B3O-115</t>
  </si>
  <si>
    <t>FH-3969</t>
  </si>
  <si>
    <t>A1D-461</t>
  </si>
  <si>
    <t>V1T-691</t>
  </si>
  <si>
    <t>A4Z-729</t>
  </si>
  <si>
    <t>V6F-829</t>
  </si>
  <si>
    <t>V5E-702</t>
  </si>
  <si>
    <t>V2Z-568</t>
  </si>
  <si>
    <t>V7I-897</t>
  </si>
  <si>
    <t>V3L-055</t>
  </si>
  <si>
    <t>EH-6946</t>
  </si>
  <si>
    <t>Z6B-967</t>
  </si>
  <si>
    <t>V4A-020</t>
  </si>
  <si>
    <t>CF-2252</t>
  </si>
  <si>
    <t>A4Y-789</t>
  </si>
  <si>
    <t>V5V-388</t>
  </si>
  <si>
    <t>Z3P-318</t>
  </si>
  <si>
    <t>V2J-597</t>
  </si>
  <si>
    <t>A1S-715</t>
  </si>
  <si>
    <t>V5H-781</t>
  </si>
  <si>
    <t>V3S-545</t>
  </si>
  <si>
    <t>V3O-675</t>
  </si>
  <si>
    <t>V4D-583</t>
  </si>
  <si>
    <t>V5G-215</t>
  </si>
  <si>
    <t>VARGAS HUACHANI OLGA KATERINE</t>
  </si>
  <si>
    <t>MAMANI USCA EDWARD</t>
  </si>
  <si>
    <t>BARREDA DEZA JORGE LUIS</t>
  </si>
  <si>
    <t>MAMANI MAMANI JAZMIN</t>
  </si>
  <si>
    <t>MAMANI MAMANI SHIRLEY</t>
  </si>
  <si>
    <t>SUAÑA MAMANI OJAYITH</t>
  </si>
  <si>
    <t>SUAÑA RIQUELME JAVIER</t>
  </si>
  <si>
    <t>AGUILAR RAMIREZ ANGEL</t>
  </si>
  <si>
    <t>LOPEZ SOTO VALERY</t>
  </si>
  <si>
    <t>CJULA PIMENTEL LINO</t>
  </si>
  <si>
    <t>QUISPE RAMOS RAUL</t>
  </si>
  <si>
    <t>PACORI QUISPE GLADYS</t>
  </si>
  <si>
    <t>GONZALES RODRIGUEZ SUE HELEN</t>
  </si>
  <si>
    <t>PAREDES GONZALES GABRIEL</t>
  </si>
  <si>
    <t>RODRIGUEZ BALLON ANTONIETA PASCUALA</t>
  </si>
  <si>
    <t>VALENCIA SOLIS RAUL</t>
  </si>
  <si>
    <t>SUEROS OBANDO NATALY MAGDALENA</t>
  </si>
  <si>
    <t>DIAZ CALLAPIÑA DARCY</t>
  </si>
  <si>
    <t>ORTIZ BENAVENTE LALESKA</t>
  </si>
  <si>
    <t>NEYRA TAPIA CRISTINA INES</t>
  </si>
  <si>
    <t>ROSAS BARRIOS EDWIN</t>
  </si>
  <si>
    <t>ALVAREZ CHINO GILBERTO</t>
  </si>
  <si>
    <t>VELASQUEZ SUCAPUCA BENIGNA CRISTINA</t>
  </si>
  <si>
    <t>JUAREZ BENAVENTE WALTER JEREMIAS</t>
  </si>
  <si>
    <t>LUNA VALENZUELA DORIS</t>
  </si>
  <si>
    <t>NUÑEZ CHAVEZ BERNARDO</t>
  </si>
  <si>
    <t>CHARA LLOCLLE TRIUNFO</t>
  </si>
  <si>
    <t>SOTO VILCA ANA MARIA</t>
  </si>
  <si>
    <t>LOPEZ GONZALES CARMEN ROSA</t>
  </si>
  <si>
    <t>CANSAYA CONDORI AGUSTINA</t>
  </si>
  <si>
    <t>FLORES CARDENAS ROSSANA</t>
  </si>
  <si>
    <t>SALAS ZEGARRA FREDY ANTONIO</t>
  </si>
  <si>
    <t>ARENAZAS TORRES CARLOS EDUARDO</t>
  </si>
  <si>
    <t>HERRERA MAR MARJHORY</t>
  </si>
  <si>
    <t>ZUÑIGA ANCO PAULINA YOLANDA</t>
  </si>
  <si>
    <t>APFATA HUAMANI GEPTE</t>
  </si>
  <si>
    <t>OLMEDO LOAYZA SAMUEL</t>
  </si>
  <si>
    <t>CHIPANA HUARACA ALEJANDRINA</t>
  </si>
  <si>
    <t>BARRIOS AMADO GERARDO</t>
  </si>
  <si>
    <t>VARGAS AMARO JOHANNY</t>
  </si>
  <si>
    <t>TORRES VARGAS BENJAMIN</t>
  </si>
  <si>
    <t xml:space="preserve">JURO RANILLA DE SEVINCHA TERESA </t>
  </si>
  <si>
    <t>HUANCA CARRILLO MARIA</t>
  </si>
  <si>
    <t>SALHUA MIRANDA DIANA EVELYN</t>
  </si>
  <si>
    <t>REVILLA ARIAS JEISON MOISES</t>
  </si>
  <si>
    <t>NAVARRO SILVA MARIA OFELIA</t>
  </si>
  <si>
    <t>NAVARRO SILVA SANDRA</t>
  </si>
  <si>
    <t>CHAVEZ AYMA HAYDEE MARIA</t>
  </si>
  <si>
    <t>GUZMAN YYY, ANGELICA</t>
  </si>
  <si>
    <t>HUAYHUA CONDORI SONIA</t>
  </si>
  <si>
    <t>OLLACHICA SAICO JULIO</t>
  </si>
  <si>
    <t>CUENTA LUQUE GERARDO</t>
  </si>
  <si>
    <t>PERALTA MAMANI JUAN LUIS</t>
  </si>
  <si>
    <t>TRELLES RIMACHE AYBEN</t>
  </si>
  <si>
    <t>CHOQUEMAMANI HUANCA YOLA</t>
  </si>
  <si>
    <t>NUÑEZ ROJAS OLGA ROSA</t>
  </si>
  <si>
    <t>APAZA PARIZACA MARGARITA</t>
  </si>
  <si>
    <t>CUAQUIRA VENTURA LEONARDO BELTRAN</t>
  </si>
  <si>
    <t>ROSAS CRUZ ANGELA LIZBETH</t>
  </si>
  <si>
    <t>VERA TASSARA ELISETH</t>
  </si>
  <si>
    <t>GUILLEN INFANTES JOSEFA</t>
  </si>
  <si>
    <t>GERONIMO RODRIGUEZ PABLO</t>
  </si>
  <si>
    <t>VERA VARGAS JOSE GUILLERMO</t>
  </si>
  <si>
    <t>SILVA HINOJOSA GLADYS</t>
  </si>
  <si>
    <t>DELGADO VALERO FRANZ</t>
  </si>
  <si>
    <t>MAMANI VELASQUEZ ANA</t>
  </si>
  <si>
    <t>MARROQUIN RAMOS HECTOR PEDRO</t>
  </si>
  <si>
    <t>TAPIA SALAS JUANA</t>
  </si>
  <si>
    <t>ARCE CUTIRE ALEXANDER GUSTAVO</t>
  </si>
  <si>
    <t>MASIAS CAYRA BASILIA</t>
  </si>
  <si>
    <t>MAMANI PARICAHUA ALFREDO</t>
  </si>
  <si>
    <t>ALCCAMARI QUECAÑO LUIS FERNANDO</t>
  </si>
  <si>
    <t>QUISPE PINTO  AURELIO NOLBERTO</t>
  </si>
  <si>
    <t>ARENAS ABARCA LUIS</t>
  </si>
  <si>
    <t>HUANCA ZUÑIGA MARIELA IVETTE</t>
  </si>
  <si>
    <t>INFANTES VILCA ELMER ALFONSO</t>
  </si>
  <si>
    <t>HALLASI FLORES MILUSKA YESI</t>
  </si>
  <si>
    <t>VILLALBA CHAMBI JULIO CESAR</t>
  </si>
  <si>
    <t>GALLEGOS ROMANI ALEJANDRINA NANCY</t>
  </si>
  <si>
    <t>QUISPE CHAÑI BASILIA</t>
  </si>
  <si>
    <t>ANCCO QUIZA JESSICA</t>
  </si>
  <si>
    <t>RODRIGUEZ JIMENEZ VICENTA YOLANDA</t>
  </si>
  <si>
    <t>NEYRA LAZO PERCY MARIANO</t>
  </si>
  <si>
    <t>TERAN CHAVEZ GREGOR ENRIQUE</t>
  </si>
  <si>
    <t>DEL CARPIO DIAZ JOSE MIGUEL</t>
  </si>
  <si>
    <t>DIAZ CACERES PAULINA</t>
  </si>
  <si>
    <t>SALHUA HUACCHA JUANA ROSA</t>
  </si>
  <si>
    <t>ALVAREZ LINARES ROCIO ANGELA</t>
  </si>
  <si>
    <t>SALAZAR QUISPE KAREN</t>
  </si>
  <si>
    <t>HUAYNAPUMA HUAYNACHE MARIA</t>
  </si>
  <si>
    <t>ALIAGA JUSTO ROGER</t>
  </si>
  <si>
    <t>PUMA CABRERA JUANA</t>
  </si>
  <si>
    <t>MEDINA HUAMANI GERARDO</t>
  </si>
  <si>
    <t>QUISPE MEDINA ERIKA DOROTEA</t>
  </si>
  <si>
    <t>BARRETO HUAYLLA ELENA ALBERTINA</t>
  </si>
  <si>
    <t>AREVALO MUÑOZ MANUEL</t>
  </si>
  <si>
    <t>GUILLEN VELARDE FELIPA</t>
  </si>
  <si>
    <t>PACOMPIA QUECARA HECTOR MODESTO</t>
  </si>
  <si>
    <t>ANULADO</t>
  </si>
  <si>
    <t>117741</t>
  </si>
  <si>
    <t>104374</t>
  </si>
  <si>
    <t>118153</t>
  </si>
  <si>
    <t>099001</t>
  </si>
  <si>
    <t>110339</t>
  </si>
  <si>
    <t>112620</t>
  </si>
  <si>
    <t>098840</t>
  </si>
  <si>
    <t>114564</t>
  </si>
  <si>
    <t>115773</t>
  </si>
  <si>
    <t>100731</t>
  </si>
  <si>
    <t>099905</t>
  </si>
  <si>
    <t>116642</t>
  </si>
  <si>
    <t>101275</t>
  </si>
  <si>
    <t>112169</t>
  </si>
  <si>
    <t>100529</t>
  </si>
  <si>
    <t>093893</t>
  </si>
  <si>
    <t>101493</t>
  </si>
  <si>
    <t>116345</t>
  </si>
  <si>
    <t>113707</t>
  </si>
  <si>
    <t>114934</t>
  </si>
  <si>
    <t>104943</t>
  </si>
  <si>
    <t>112768</t>
  </si>
  <si>
    <t>101419</t>
  </si>
  <si>
    <t>104252</t>
  </si>
  <si>
    <t>105285</t>
  </si>
  <si>
    <t>098756</t>
  </si>
  <si>
    <t>106474</t>
  </si>
  <si>
    <t>112376</t>
  </si>
  <si>
    <t>115457</t>
  </si>
  <si>
    <t>119172</t>
  </si>
  <si>
    <t>106507</t>
  </si>
  <si>
    <t>105381</t>
  </si>
  <si>
    <t>101232</t>
  </si>
  <si>
    <t>111726</t>
  </si>
  <si>
    <t>102225</t>
  </si>
  <si>
    <t>104526</t>
  </si>
  <si>
    <t>118060</t>
  </si>
  <si>
    <t>100438</t>
  </si>
  <si>
    <t>110477</t>
  </si>
  <si>
    <t>117229</t>
  </si>
  <si>
    <t>120027</t>
  </si>
  <si>
    <t>104236</t>
  </si>
  <si>
    <t>110435</t>
  </si>
  <si>
    <t>104149</t>
  </si>
  <si>
    <t>100434</t>
  </si>
  <si>
    <t>V1U-683</t>
  </si>
  <si>
    <t>F3I-467</t>
  </si>
  <si>
    <t>VOF-959</t>
  </si>
  <si>
    <t>V3J-606</t>
  </si>
  <si>
    <t>F5O-820</t>
  </si>
  <si>
    <t>V1N-773</t>
  </si>
  <si>
    <t>V3S-108</t>
  </si>
  <si>
    <t>V3B-036</t>
  </si>
  <si>
    <t>V5O-323</t>
  </si>
  <si>
    <t>V3S-227</t>
  </si>
  <si>
    <t>V2I-477</t>
  </si>
  <si>
    <t>V4V-321</t>
  </si>
  <si>
    <t>C3I-488</t>
  </si>
  <si>
    <t>V1S-619</t>
  </si>
  <si>
    <t>V3N-127</t>
  </si>
  <si>
    <t>V5U-196</t>
  </si>
  <si>
    <t>V3W-384</t>
  </si>
  <si>
    <t>V4X-381</t>
  </si>
  <si>
    <t>V2Z-093</t>
  </si>
  <si>
    <t>V1D-309</t>
  </si>
  <si>
    <t>V4O-700</t>
  </si>
  <si>
    <t>V5U-469</t>
  </si>
  <si>
    <t>V4T-637</t>
  </si>
  <si>
    <t>V3Y-134</t>
  </si>
  <si>
    <t>B0L-378</t>
  </si>
  <si>
    <t>V5Y-467</t>
  </si>
  <si>
    <t>V4X-468</t>
  </si>
  <si>
    <t>V5C-092</t>
  </si>
  <si>
    <t>V2E-515</t>
  </si>
  <si>
    <t>V4O-338</t>
  </si>
  <si>
    <t>B2V-732</t>
  </si>
  <si>
    <t>V3W-016</t>
  </si>
  <si>
    <t>V3Q-670</t>
  </si>
  <si>
    <t>V6I-507</t>
  </si>
  <si>
    <t>V5N-176</t>
  </si>
  <si>
    <t>6012-6B</t>
  </si>
  <si>
    <t>V4Q-195</t>
  </si>
  <si>
    <t>V5W-570</t>
  </si>
  <si>
    <t>V5T-259</t>
  </si>
  <si>
    <t>F3F-593</t>
  </si>
  <si>
    <t>V2M-692</t>
  </si>
  <si>
    <t>V1F-703</t>
  </si>
  <si>
    <t>F9C-282</t>
  </si>
  <si>
    <t>V4J-108</t>
  </si>
  <si>
    <t>CHOQUE QUICO ERICK RAUL</t>
  </si>
  <si>
    <t>FERNANDEZ LUQUE CARMEN</t>
  </si>
  <si>
    <t>CHIPANA DE GALINDO, MARCELA</t>
  </si>
  <si>
    <t>HERRERA ACOSTA VICTORIA ISABEL</t>
  </si>
  <si>
    <t>ARIAS FARA GRISELDA GLADYS</t>
  </si>
  <si>
    <t>BEDREGAL MACEDO JORGE ORLANDO</t>
  </si>
  <si>
    <t>VARGAS MACHACA HELEN KAROL</t>
  </si>
  <si>
    <t>LOPEZ QUISPE, LINO ALEXANDER</t>
  </si>
  <si>
    <t>NOVOA GARCIA AMYARA</t>
  </si>
  <si>
    <t>SALCEDO TUME ROSARIO RUFINO</t>
  </si>
  <si>
    <t>ZEGARRA PINTO JHESMIRLY</t>
  </si>
  <si>
    <t>AMPUERO ALFARO KATIA</t>
  </si>
  <si>
    <t>HINOJOSA MOLINA, CLAUDIA</t>
  </si>
  <si>
    <t>MOROCO QUISPE, LESLIE ARIANA</t>
  </si>
  <si>
    <t>TICONA CHAMBI ALEJANDRO</t>
  </si>
  <si>
    <t>FERNANDEZ ORTIZ DEYANIRA</t>
  </si>
  <si>
    <t>ORTIZ CHIRINOS ALEJANDRA</t>
  </si>
  <si>
    <t>CARPIO CHAMBI KETY</t>
  </si>
  <si>
    <t>DIAZ LUQUE CARLOS JERONIMO</t>
  </si>
  <si>
    <t>VELASQUEZ COYLA ISAAC SAMUEL</t>
  </si>
  <si>
    <t>MURILLO ZEGARRA CAMILA ANTUANET</t>
  </si>
  <si>
    <t>COSTES, JEANNE</t>
  </si>
  <si>
    <t>SALAZAR PAZ MANUEL GUSTAVO</t>
  </si>
  <si>
    <t>ALVARO SANCHEZ AUGUSTO MANUEL</t>
  </si>
  <si>
    <t>PANDO ESPEJO BOANETT CAROLA</t>
  </si>
  <si>
    <t>CHIPANA CONDORI VICTOR</t>
  </si>
  <si>
    <t>HUACO BUSTAMANTE LUIS</t>
  </si>
  <si>
    <t>GUTIERREZ SALCEDO GERTRUDIS</t>
  </si>
  <si>
    <t>ARIAS TEJADA GERARDO RUBEN</t>
  </si>
  <si>
    <t>LIMA TAYPE PERCY</t>
  </si>
  <si>
    <t>TEJADA UGARTE EMMA</t>
  </si>
  <si>
    <t>CHAVEZ GUERRA JUANA</t>
  </si>
  <si>
    <t>CACERES ZEA HAROLD</t>
  </si>
  <si>
    <t>CHOQUENEIRA CCAHUANA DEYVIS</t>
  </si>
  <si>
    <t>SURCO CHOQUE FELIX ERNESTO</t>
  </si>
  <si>
    <t>CARRION NINA SANDRA JEANNETTE</t>
  </si>
  <si>
    <t>SURCO CARRION PIERO ERNESTO</t>
  </si>
  <si>
    <t>CONDORI HUAYTA ANGELA MAGALY</t>
  </si>
  <si>
    <t>ZUÑIGA CORZO EDGAR JUSTO</t>
  </si>
  <si>
    <t>VIZARRETA BOZA ELARD</t>
  </si>
  <si>
    <t>MAMANI JILAPA MARTIN</t>
  </si>
  <si>
    <t>OJEDA MIRANDA KATHERINE DAYANA</t>
  </si>
  <si>
    <t>HUANCARA QUEHUE MARIA</t>
  </si>
  <si>
    <t>FLORES NINA SALVADOR JULIAN</t>
  </si>
  <si>
    <t>PEÑA PATIÑO CELIA MARILUZ</t>
  </si>
  <si>
    <t>LOAYZA GAMA ANGIE</t>
  </si>
  <si>
    <t>TEMOCHE TINTAYA DAVID JESUS</t>
  </si>
  <si>
    <t>QUISPE HUAYTA SELMA</t>
  </si>
  <si>
    <t>ORIHUELA VELASQUEZ BEATRIZ</t>
  </si>
  <si>
    <t>SUAREZ SALAZAR GIOVANNA</t>
  </si>
  <si>
    <t>HANCCO HERMOZA LUCIANO</t>
  </si>
  <si>
    <t>TEJADA DE BENAVENTE, LAURA</t>
  </si>
  <si>
    <t>MAMANI QUISPE ERICK FIDEL</t>
  </si>
  <si>
    <t>QUISPE CCORIMANYA BERTA</t>
  </si>
  <si>
    <t>APAZA DE PARIZACA LEONIDAS</t>
  </si>
  <si>
    <t>CONDORI CONDORI HENRY</t>
  </si>
  <si>
    <t>ANGULO VALDIVIA ANGELA</t>
  </si>
  <si>
    <t>VILLASANTE RUIZ MIGUEL</t>
  </si>
  <si>
    <t>QUISPE ARELA JOSE</t>
  </si>
  <si>
    <t>PUMA MALDONADO PEREGRINA</t>
  </si>
  <si>
    <t>GORDILLO CALLE GRACE SAMANTHA</t>
  </si>
  <si>
    <t>GORDILLO CALLE JAIRO JAHIR</t>
  </si>
  <si>
    <t>CALLE ARCE DE GORDILLO AMANDA FELICITAS</t>
  </si>
  <si>
    <t>REYES VALDIVIA ALESSANDRA</t>
  </si>
  <si>
    <t>AREQUIPA - ISLAY</t>
  </si>
  <si>
    <t>AREQUISPA-AREQUIPA</t>
  </si>
  <si>
    <t>JOVE HUARCAYA DAVID ALBERTO</t>
  </si>
  <si>
    <t>BETETA INFANTES LUZ</t>
  </si>
  <si>
    <t>AROTAYPE TANTANI LUIS</t>
  </si>
  <si>
    <t>GARCES AGUILAR FREDDY FROILAN</t>
  </si>
  <si>
    <t>PANTIGOSO SUEROS FABIANA CAMILA</t>
  </si>
  <si>
    <t>VERA PARQUI CARMEN YANETH</t>
  </si>
  <si>
    <t>CCOLLACCOLLA ZAMATA JOWEL</t>
  </si>
  <si>
    <t>097502</t>
  </si>
  <si>
    <t>Y1K-523</t>
  </si>
  <si>
    <t>JARATA MOLLOCONDO ERICSON</t>
  </si>
  <si>
    <t>102374</t>
  </si>
  <si>
    <t>V1C-591</t>
  </si>
  <si>
    <t>CAQUIAMARCA CALACHUA JUSTIN JOE</t>
  </si>
  <si>
    <t>ESCOBEDO CHECA HILDA</t>
  </si>
  <si>
    <t>GENCIO TANCA JOSE LUIS</t>
  </si>
  <si>
    <t>FLORES MARTINEZ JUAN CARLOS</t>
  </si>
  <si>
    <t>MAMANI JAHUIRA APOLINARIA</t>
  </si>
  <si>
    <t>106509</t>
  </si>
  <si>
    <t>110269</t>
  </si>
  <si>
    <t>117821</t>
  </si>
  <si>
    <t>114951</t>
  </si>
  <si>
    <t>110243</t>
  </si>
  <si>
    <t>117569</t>
  </si>
  <si>
    <t>112527</t>
  </si>
  <si>
    <t>106027</t>
  </si>
  <si>
    <t>101878</t>
  </si>
  <si>
    <t>114630</t>
  </si>
  <si>
    <t>106568</t>
  </si>
  <si>
    <t>110794</t>
  </si>
  <si>
    <t>104017</t>
  </si>
  <si>
    <t>114614</t>
  </si>
  <si>
    <t>099555</t>
  </si>
  <si>
    <t>101631</t>
  </si>
  <si>
    <t>114773</t>
  </si>
  <si>
    <t>112676</t>
  </si>
  <si>
    <t>115548</t>
  </si>
  <si>
    <t>104230</t>
  </si>
  <si>
    <t>106878</t>
  </si>
  <si>
    <t>102680</t>
  </si>
  <si>
    <t>101327</t>
  </si>
  <si>
    <t>119807</t>
  </si>
  <si>
    <t>106341</t>
  </si>
  <si>
    <t>101899</t>
  </si>
  <si>
    <t>121508</t>
  </si>
  <si>
    <t>114930</t>
  </si>
  <si>
    <t>105713</t>
  </si>
  <si>
    <t>103965</t>
  </si>
  <si>
    <t>119682</t>
  </si>
  <si>
    <t>106713</t>
  </si>
  <si>
    <t>112091</t>
  </si>
  <si>
    <t>118386</t>
  </si>
  <si>
    <t>120163</t>
  </si>
  <si>
    <t>V5E-589</t>
  </si>
  <si>
    <t>V3R-696</t>
  </si>
  <si>
    <t>V3Z-025</t>
  </si>
  <si>
    <t>EH-5184</t>
  </si>
  <si>
    <t>FH-1225</t>
  </si>
  <si>
    <t>V6U-693</t>
  </si>
  <si>
    <t>V6M-557</t>
  </si>
  <si>
    <t>V3A-720</t>
  </si>
  <si>
    <t>V4O-082</t>
  </si>
  <si>
    <t>V2S-605</t>
  </si>
  <si>
    <t>B1D-738</t>
  </si>
  <si>
    <t>Y1Q-096</t>
  </si>
  <si>
    <t>V1X-605</t>
  </si>
  <si>
    <t>V2H-643</t>
  </si>
  <si>
    <t>V2N-449</t>
  </si>
  <si>
    <t>V4G-076</t>
  </si>
  <si>
    <t>V3O-596</t>
  </si>
  <si>
    <t>V3C-697</t>
  </si>
  <si>
    <t>V3G-079</t>
  </si>
  <si>
    <t>V3P-286</t>
  </si>
  <si>
    <t>V3H-328</t>
  </si>
  <si>
    <t>V6B-310</t>
  </si>
  <si>
    <t>V5M-508</t>
  </si>
  <si>
    <t>X1K-703</t>
  </si>
  <si>
    <t>V4M-064</t>
  </si>
  <si>
    <t>V5Y-642</t>
  </si>
  <si>
    <t>V2D-654</t>
  </si>
  <si>
    <t>V4J-708</t>
  </si>
  <si>
    <t>V5I-775</t>
  </si>
  <si>
    <t>V6X-345</t>
  </si>
  <si>
    <t>V2Y-689</t>
  </si>
  <si>
    <t>B3F-732</t>
  </si>
  <si>
    <t>V3Q-457</t>
  </si>
  <si>
    <t>BUTILER DE SUAREZ EUFEMIA</t>
  </si>
  <si>
    <t>HUAYCANI HUAYCANI FREDY ULISIS</t>
  </si>
  <si>
    <t>GONZALES, BALTAZARA URAMAR</t>
  </si>
  <si>
    <t>RIVERA OVIEDO JUDITH</t>
  </si>
  <si>
    <t>CHUQUICONDO PARI, FLOR DE LIZ</t>
  </si>
  <si>
    <t>PAMPA PAASACA VALENTINA</t>
  </si>
  <si>
    <t>ALFEREZ PAASACA THIAGO SAID</t>
  </si>
  <si>
    <t>ALFEREZ PAASACA JUSTIN EZZIO</t>
  </si>
  <si>
    <t>PAASACA PAMPA NANCY</t>
  </si>
  <si>
    <t>HUANCA PAASACA ANGELES</t>
  </si>
  <si>
    <t>RIVERA QUISPE ROSA MARIA</t>
  </si>
  <si>
    <t>JARA RIVERA JOSE RENATO</t>
  </si>
  <si>
    <t>ALVARO MAQUI SIXTA</t>
  </si>
  <si>
    <t>QUISPE CASTRO BENICIO</t>
  </si>
  <si>
    <t>RAMOS GARCIA KAREN YOANY</t>
  </si>
  <si>
    <t>VASQUEZ CHAVEZ PACO NIL</t>
  </si>
  <si>
    <t>TACOMA CONDORI BLANCA LUZ</t>
  </si>
  <si>
    <t>ZEVALLOS TACOMA MILAN</t>
  </si>
  <si>
    <t>LOPEZ QUISPE ABIGAIL</t>
  </si>
  <si>
    <t>DEL CASTILLO MONTALVO CONIS JUANA</t>
  </si>
  <si>
    <t>MENDOZA SANCHEZ LESLY</t>
  </si>
  <si>
    <t>QUISPE SUYO JULIA</t>
  </si>
  <si>
    <t>AHUATI ALCCAMARI RENATO</t>
  </si>
  <si>
    <t>AHUATI QUISPE MARIA</t>
  </si>
  <si>
    <t>AHUATI QUISPE PIERO</t>
  </si>
  <si>
    <t>RAMIREZ QUISPE TEX NELSON SEBASTIAN</t>
  </si>
  <si>
    <t>MANZANEDA VALDIVIA MILAGROS DE LOURDES</t>
  </si>
  <si>
    <t>CCALO LARUTA DE PERALTA GREGORIA</t>
  </si>
  <si>
    <t>CASTAÑEDA TORRES ROLY</t>
  </si>
  <si>
    <t>CONTRERAS RAMIREZ FANNY</t>
  </si>
  <si>
    <t>MENDEZ NOA GLENDY</t>
  </si>
  <si>
    <t>ROQUE QUISPE MARTIN</t>
  </si>
  <si>
    <t>ORIHUELA DE CACERES ALEJANDRINA</t>
  </si>
  <si>
    <t>VELEZ TEJADA CARLOS ALBERTO</t>
  </si>
  <si>
    <t>MENDOZA MENDOZA MARIA</t>
  </si>
  <si>
    <t>MENDOZA RAMIREZ JESUS</t>
  </si>
  <si>
    <t>MEMDOZA ZEVALLOS GRACE</t>
  </si>
  <si>
    <t>ORTIZ TICONA JOSE LUIS</t>
  </si>
  <si>
    <t>GUTIERREZ CHICAÑA JUANA</t>
  </si>
  <si>
    <t>BUTRON CHURA BERTHA</t>
  </si>
  <si>
    <t>CONDORIMAY SORIA MARTA ROCIO</t>
  </si>
  <si>
    <t>QUISPE SALCEDO AMERICO</t>
  </si>
  <si>
    <t>JACIRA BENAVENTE RONALD JHON</t>
  </si>
  <si>
    <t>ZAPANA ZAPANA EDITH CRISTINA</t>
  </si>
  <si>
    <t>UMIYAURI CHILO YENNI</t>
  </si>
  <si>
    <t>APARICIO HUACARPUMA BILL</t>
  </si>
  <si>
    <t>MOLLEPAZA HUANACO, EDGAR</t>
  </si>
  <si>
    <t>CAMPOS YUCRA LUZMILA</t>
  </si>
  <si>
    <t>TAPIA HANCCO MARIA JESICA</t>
  </si>
  <si>
    <t>HUMPIRE FERNANDEZ ROSARIO</t>
  </si>
  <si>
    <t>MERMA YAÑEZ FLORENGEL DALESCA</t>
  </si>
  <si>
    <t>MACETAS LAURA YANETH IRENE</t>
  </si>
  <si>
    <t>117420</t>
  </si>
  <si>
    <t>115513</t>
  </si>
  <si>
    <t>110498</t>
  </si>
  <si>
    <t>111665</t>
  </si>
  <si>
    <t>104208</t>
  </si>
  <si>
    <t>117406</t>
  </si>
  <si>
    <t>120119</t>
  </si>
  <si>
    <t>118877</t>
  </si>
  <si>
    <t>113825</t>
  </si>
  <si>
    <t>119992</t>
  </si>
  <si>
    <t>096299</t>
  </si>
  <si>
    <t>083747</t>
  </si>
  <si>
    <t>106663</t>
  </si>
  <si>
    <t>110586</t>
  </si>
  <si>
    <t>117409</t>
  </si>
  <si>
    <t>103927</t>
  </si>
  <si>
    <t>105258</t>
  </si>
  <si>
    <t>122766</t>
  </si>
  <si>
    <t>V3G-686</t>
  </si>
  <si>
    <t>V6S-047</t>
  </si>
  <si>
    <t>V5K-576</t>
  </si>
  <si>
    <t>V2X-627</t>
  </si>
  <si>
    <t>V3V-400</t>
  </si>
  <si>
    <t>V5P-659</t>
  </si>
  <si>
    <t>V2K-649</t>
  </si>
  <si>
    <t>V2F-339</t>
  </si>
  <si>
    <t>V5U-680</t>
  </si>
  <si>
    <t>A5D-751</t>
  </si>
  <si>
    <t>V5B-216</t>
  </si>
  <si>
    <t>TH-1749</t>
  </si>
  <si>
    <t>V1I-715</t>
  </si>
  <si>
    <t>DH-7750</t>
  </si>
  <si>
    <t>Z1R-409</t>
  </si>
  <si>
    <t>V5K-002</t>
  </si>
  <si>
    <t>V3Q-440</t>
  </si>
  <si>
    <t>V2Y-497</t>
  </si>
  <si>
    <t>QUISPE FARFAN DELIA</t>
  </si>
  <si>
    <t>VASQUEZ BOCANGELINO, ANA ROSA</t>
  </si>
  <si>
    <t>MAMANI LIMA MARIA</t>
  </si>
  <si>
    <t>BELLOTA ARIAS ALEXANDER SALVADOR</t>
  </si>
  <si>
    <t>SOLIS LAYME AMELIA MILAGROS</t>
  </si>
  <si>
    <t>LAYME CHAVEZ DOROTEA</t>
  </si>
  <si>
    <t>CONDORI COATA MILDER</t>
  </si>
  <si>
    <t>IDME QUISPE, FERRER VIDAL</t>
  </si>
  <si>
    <t>CHIPANA CALAPUJA MONICA</t>
  </si>
  <si>
    <t>REATEGUI ANGULO ENRIQUE</t>
  </si>
  <si>
    <t>QUISPE HUAMAN CARLOS GERARDO</t>
  </si>
  <si>
    <t>QUILLA CCORI GERSON FRANK</t>
  </si>
  <si>
    <t>CHAHUARA CHOQUEPATA RIGNER</t>
  </si>
  <si>
    <t>AMESQUITA YANA LIZBETH YAJAIRA</t>
  </si>
  <si>
    <t>LOBON HUAMANI, ALEJANDRA</t>
  </si>
  <si>
    <t>ARIAS LUPO HERBERT GUSTAVO</t>
  </si>
  <si>
    <t>LLANQUE CCASA SOFIA ALEJANDRA</t>
  </si>
  <si>
    <t>QUISPE JOVE ANDRES</t>
  </si>
  <si>
    <t>RAMOS AMBROCIO QUINTIN ELIAS</t>
  </si>
  <si>
    <t>CRUZ PEÑA LUCERO AMAIRANI</t>
  </si>
  <si>
    <t>CHAMPI SANALCA MARIA</t>
  </si>
  <si>
    <t>GARZON MOGROVEJO DARWIN GIOVANI</t>
  </si>
  <si>
    <t>PALLANI LIBANDRO JULIO CESAR</t>
  </si>
  <si>
    <t>HUARAC QUISPE JOSE FERNANDO</t>
  </si>
  <si>
    <t>QUISPE JOVE DAYSI BLANCA</t>
  </si>
  <si>
    <t>REBAZA PICON LEONEL</t>
  </si>
  <si>
    <t>CASTILLO CORRALES CARLA</t>
  </si>
  <si>
    <t>101698</t>
  </si>
  <si>
    <t>101465</t>
  </si>
  <si>
    <t>119619</t>
  </si>
  <si>
    <t>098516</t>
  </si>
  <si>
    <t>116218</t>
  </si>
  <si>
    <t>117882</t>
  </si>
  <si>
    <t>111756</t>
  </si>
  <si>
    <t>119197</t>
  </si>
  <si>
    <t>116304</t>
  </si>
  <si>
    <t>115876</t>
  </si>
  <si>
    <t>110948</t>
  </si>
  <si>
    <t>114530</t>
  </si>
  <si>
    <t>113717</t>
  </si>
  <si>
    <t>112508</t>
  </si>
  <si>
    <t>111064</t>
  </si>
  <si>
    <t>121880</t>
  </si>
  <si>
    <t>103974</t>
  </si>
  <si>
    <t>103640</t>
  </si>
  <si>
    <t>102827</t>
  </si>
  <si>
    <t>120276</t>
  </si>
  <si>
    <t>102052</t>
  </si>
  <si>
    <t>115969</t>
  </si>
  <si>
    <t>096790</t>
  </si>
  <si>
    <t>101164</t>
  </si>
  <si>
    <t>122049</t>
  </si>
  <si>
    <t>102757</t>
  </si>
  <si>
    <t>102586</t>
  </si>
  <si>
    <t>120530</t>
  </si>
  <si>
    <t>103124</t>
  </si>
  <si>
    <t>102652</t>
  </si>
  <si>
    <t>116557</t>
  </si>
  <si>
    <t>100633</t>
  </si>
  <si>
    <t>118464</t>
  </si>
  <si>
    <t>104701</t>
  </si>
  <si>
    <t>123393</t>
  </si>
  <si>
    <t>114134</t>
  </si>
  <si>
    <t>V2E-685</t>
  </si>
  <si>
    <t>V3T-208</t>
  </si>
  <si>
    <t>V6X-154</t>
  </si>
  <si>
    <t>6490-6M</t>
  </si>
  <si>
    <t>V2W-334</t>
  </si>
  <si>
    <t>V3D-667</t>
  </si>
  <si>
    <t>V5U-542</t>
  </si>
  <si>
    <t>V5F-476</t>
  </si>
  <si>
    <t>V4I-008</t>
  </si>
  <si>
    <t>D5N-675</t>
  </si>
  <si>
    <t>V1V-394</t>
  </si>
  <si>
    <t>V5M-276</t>
  </si>
  <si>
    <t>V2Z-584</t>
  </si>
  <si>
    <t>V3V-036</t>
  </si>
  <si>
    <t>V1Y-634</t>
  </si>
  <si>
    <t>V4Y-586</t>
  </si>
  <si>
    <t>A5K-770</t>
  </si>
  <si>
    <t>V2B-390</t>
  </si>
  <si>
    <t>V5U-048</t>
  </si>
  <si>
    <t>V4F-627</t>
  </si>
  <si>
    <t>B4N-438</t>
  </si>
  <si>
    <t>V1A-735</t>
  </si>
  <si>
    <t>A0O-788</t>
  </si>
  <si>
    <t>V4U-279</t>
  </si>
  <si>
    <t>P1A-052</t>
  </si>
  <si>
    <t>B1E-097</t>
  </si>
  <si>
    <t>A0J-136</t>
  </si>
  <si>
    <t>V4K-677</t>
  </si>
  <si>
    <t>V5T-255</t>
  </si>
  <si>
    <t>V4D-143</t>
  </si>
  <si>
    <t>X1C-639</t>
  </si>
  <si>
    <t>V5Y-286</t>
  </si>
  <si>
    <t>V3M-053</t>
  </si>
  <si>
    <t>Y1B-229</t>
  </si>
  <si>
    <t>SOTO ARAPA ASAMI</t>
  </si>
  <si>
    <t>HUAQUIPACO AMUDIO LUIS ALBERTO</t>
  </si>
  <si>
    <t>CALCIN CHAMBI MIRIAM DIONICIA</t>
  </si>
  <si>
    <t>PERALTA TORRES ISRAEL JULIAN</t>
  </si>
  <si>
    <t>PORTOCARRERA SAHUANAY EUSEBIA</t>
  </si>
  <si>
    <t>CRUZ PURACA ROBERTO</t>
  </si>
  <si>
    <t>VARGAS TAPIA BRENDA ZUYEDKA</t>
  </si>
  <si>
    <t>PEREZ LOPINTA YENNY ELSA</t>
  </si>
  <si>
    <t>CUENTAS FLORES ELIZABETH</t>
  </si>
  <si>
    <t>FALCON CARPIO HERLINDA</t>
  </si>
  <si>
    <t>GONZALES CUENTAS BARBARA</t>
  </si>
  <si>
    <t>GONZALES SILVA JESUS</t>
  </si>
  <si>
    <t>ZEGARRA LOPEZ LUIS</t>
  </si>
  <si>
    <t>HUILCCAHUAMAN JACINTO DITER</t>
  </si>
  <si>
    <t>LOPEZ GUTIERREZ VIRGINIA</t>
  </si>
  <si>
    <t>SARMIENTO SUCA ALONSO ALEX</t>
  </si>
  <si>
    <t>BURGA ORACHE SCOTT BRYAN</t>
  </si>
  <si>
    <t>CCUNO MAYTA DOMINGA VICTORIA</t>
  </si>
  <si>
    <t>JOVE CORDOVA ROSA MADELEINE</t>
  </si>
  <si>
    <t>MAMANI PAURO ELIDA</t>
  </si>
  <si>
    <t>MAMANI PAURO SONIA GABRIELA</t>
  </si>
  <si>
    <t>JOVE QUISPE JUDITH</t>
  </si>
  <si>
    <t>HANCO CERVANTES VERONICA MARITZA</t>
  </si>
  <si>
    <t>ARO GUTIERREZ VICTORIA</t>
  </si>
  <si>
    <t>CALLOAPAZA ALVAREZ MERCEDES</t>
  </si>
  <si>
    <t>COAQUIRA ARIZA NATALY LUCERO</t>
  </si>
  <si>
    <t>QUISPE CUPI NELIDA LUZ</t>
  </si>
  <si>
    <t>QUISPE QUISPE ROSARIO</t>
  </si>
  <si>
    <t>CRUZ GARCIA FLORENCIA</t>
  </si>
  <si>
    <t>ESPINOZA ORELLANA JUANA</t>
  </si>
  <si>
    <t>QUISPE SAICO GISSELLE</t>
  </si>
  <si>
    <t>GUTIERREZ BARBACHAN JUANA CRISTINA</t>
  </si>
  <si>
    <t>CHOQUE CHANCOLLA EFRAIN</t>
  </si>
  <si>
    <t>QUISPE CHOQUEMAMANI ERNESTO</t>
  </si>
  <si>
    <t>QUISPE CHOQUEMAMANI ZAIDA</t>
  </si>
  <si>
    <t>LOPEZ MIRANDA VICTORIA</t>
  </si>
  <si>
    <t>LOAYZA CAMARGO FILOMENA</t>
  </si>
  <si>
    <t>QUISPE VENEGAS GERARDA</t>
  </si>
  <si>
    <t>MEDINA SILVA LUIS AMILCAR</t>
  </si>
  <si>
    <t>MEDINA LUJAN RUTH NORMA</t>
  </si>
  <si>
    <t>PAZ HUAMANI JAIME MARCIAL</t>
  </si>
  <si>
    <t>BARRAGAN CACHURA JOHANNA</t>
  </si>
  <si>
    <t>QUISPEHUAMAN CCASA NATALIO</t>
  </si>
  <si>
    <t>OVIEDO AVILA JOHN EDINSON</t>
  </si>
  <si>
    <t>LLAMOCA JURO EFRAIN JEAN PIARE</t>
  </si>
  <si>
    <t>HUANCA QUIO PAULINA</t>
  </si>
  <si>
    <t>ORTEGA LAGOS SILENEA</t>
  </si>
  <si>
    <t>QUISPE ZELA RUBEN WALTER</t>
  </si>
  <si>
    <t>HUARCA LLAZA THAIS PAOLA</t>
  </si>
  <si>
    <t>MACHACA ESTEFANERO, LUISA DORA</t>
  </si>
  <si>
    <t>GAMARRA LUJAN NORMAN</t>
  </si>
  <si>
    <t>AREQUIPAREQUIPA</t>
  </si>
  <si>
    <t>106838</t>
  </si>
  <si>
    <t>101109</t>
  </si>
  <si>
    <t>103565</t>
  </si>
  <si>
    <t>121647</t>
  </si>
  <si>
    <t>112848</t>
  </si>
  <si>
    <t>121934</t>
  </si>
  <si>
    <t>106123</t>
  </si>
  <si>
    <t>123917</t>
  </si>
  <si>
    <t>103337</t>
  </si>
  <si>
    <t>104589</t>
  </si>
  <si>
    <t>AFJ-626</t>
  </si>
  <si>
    <t>A0D-222</t>
  </si>
  <si>
    <t>V3Z-038</t>
  </si>
  <si>
    <t>V3P-432</t>
  </si>
  <si>
    <t>V2Y-631</t>
  </si>
  <si>
    <t>V5W-297</t>
  </si>
  <si>
    <t>W1D-754</t>
  </si>
  <si>
    <t>V4T-258</t>
  </si>
  <si>
    <t>V6J-226</t>
  </si>
  <si>
    <t>V3A-351</t>
  </si>
  <si>
    <t>CONTRERAS VALENCIA NORA</t>
  </si>
  <si>
    <t>PALLE AGUIRRE FIORELLA</t>
  </si>
  <si>
    <t>LEONARDO VIZA PAULINO</t>
  </si>
  <si>
    <t>CHUNGA QQUINCHO CRISTINA</t>
  </si>
  <si>
    <t>LLUTARI QUEHUA CARMEN</t>
  </si>
  <si>
    <t>CASANI MAMANI OLMER</t>
  </si>
  <si>
    <t>JARA GERONIMO AUGUSTO</t>
  </si>
  <si>
    <t>MAMANI ITO FIDEL</t>
  </si>
  <si>
    <t>ALEGRE SALCEDO HARVEY</t>
  </si>
  <si>
    <t>SALAZAR MARIANCHI DIANA</t>
  </si>
  <si>
    <t>CUTI SALAZAR PATRICK</t>
  </si>
  <si>
    <t>CUTI CALLOAPAZA JOSE ALFREDO</t>
  </si>
  <si>
    <t>CCAPA HUANCA JUAN</t>
  </si>
  <si>
    <t>CCAPA HUARACALLO LEONIDAS</t>
  </si>
  <si>
    <t>HUANCA ROMERO FRANCISCA ROBERTA</t>
  </si>
  <si>
    <t>ALVAREZ CONDE ALEXANDER</t>
  </si>
  <si>
    <t>112759</t>
  </si>
  <si>
    <t>118889</t>
  </si>
  <si>
    <t>116105</t>
  </si>
  <si>
    <t>105330</t>
  </si>
  <si>
    <t>119539</t>
  </si>
  <si>
    <t>119514</t>
  </si>
  <si>
    <t>121778</t>
  </si>
  <si>
    <t>110412</t>
  </si>
  <si>
    <t>120068</t>
  </si>
  <si>
    <t>105125</t>
  </si>
  <si>
    <t>118522</t>
  </si>
  <si>
    <t>121045</t>
  </si>
  <si>
    <t>111962</t>
  </si>
  <si>
    <t>106701</t>
  </si>
  <si>
    <t>122273</t>
  </si>
  <si>
    <t>117444</t>
  </si>
  <si>
    <t>124467</t>
  </si>
  <si>
    <t>121188</t>
  </si>
  <si>
    <t>106325</t>
  </si>
  <si>
    <t>120690</t>
  </si>
  <si>
    <t>113465</t>
  </si>
  <si>
    <t>121795</t>
  </si>
  <si>
    <t>115295</t>
  </si>
  <si>
    <t>114722</t>
  </si>
  <si>
    <t>124310</t>
  </si>
  <si>
    <t>114384</t>
  </si>
  <si>
    <t>120987</t>
  </si>
  <si>
    <t>P1M-781</t>
  </si>
  <si>
    <t>V5U-294</t>
  </si>
  <si>
    <t>Z3O-750</t>
  </si>
  <si>
    <t>V1Y-788</t>
  </si>
  <si>
    <t>C1D-016</t>
  </si>
  <si>
    <t>U1B-711</t>
  </si>
  <si>
    <t>D6F-643</t>
  </si>
  <si>
    <t>V1S-104</t>
  </si>
  <si>
    <t>V6Y-654</t>
  </si>
  <si>
    <t>Z2K-710</t>
  </si>
  <si>
    <t>F7V-946</t>
  </si>
  <si>
    <t>V6A-214</t>
  </si>
  <si>
    <t>EH-5809</t>
  </si>
  <si>
    <t>V1S-495</t>
  </si>
  <si>
    <t>C4H-104</t>
  </si>
  <si>
    <t>C9X-668</t>
  </si>
  <si>
    <t>V7A-565</t>
  </si>
  <si>
    <t>V4R-956</t>
  </si>
  <si>
    <t>V5X-470</t>
  </si>
  <si>
    <t>Z3P-215</t>
  </si>
  <si>
    <t>V2E-632</t>
  </si>
  <si>
    <t>V5M-115</t>
  </si>
  <si>
    <t>V5L-035</t>
  </si>
  <si>
    <t>V1B-278</t>
  </si>
  <si>
    <t>V5E-446</t>
  </si>
  <si>
    <t>C6F-669</t>
  </si>
  <si>
    <t>QUISPE VILCAHUAMAN HOLGA</t>
  </si>
  <si>
    <t>ESPEZUA MACHACA MARGARITA</t>
  </si>
  <si>
    <t>TORRES ESPEZUA MILEN</t>
  </si>
  <si>
    <t>MACHACA ALVAREZ MARIA</t>
  </si>
  <si>
    <t>TORRES ESPEZUA THIAGO</t>
  </si>
  <si>
    <t>TORRES ARCOS TED ANTONY</t>
  </si>
  <si>
    <t>MAQUI ORTIZ EDMUNDO</t>
  </si>
  <si>
    <t>LINARES VARGAS MARIBEL</t>
  </si>
  <si>
    <t>LAURA QUISPE BENJAMIN</t>
  </si>
  <si>
    <t>VALENCIA CIZA EVA</t>
  </si>
  <si>
    <t>PUMA QUIROZ JULIA RICARDINA</t>
  </si>
  <si>
    <t>GONZALES POSTIGO PATRICIA VANESSA</t>
  </si>
  <si>
    <t>GONZALES RODRIGUEZ ALBERTO</t>
  </si>
  <si>
    <t>LOPEZ ZAMATA ARON JOSE</t>
  </si>
  <si>
    <t>RAMOS PACSI MARISOL</t>
  </si>
  <si>
    <t>LOPEZ VILLA RENATA</t>
  </si>
  <si>
    <t>PERALTA SONCCO DE FLORES ELENA MATILDE</t>
  </si>
  <si>
    <t>PRIETO TOLEDO PILAR</t>
  </si>
  <si>
    <t>CABRERA CARDENAS KATHERINE</t>
  </si>
  <si>
    <t>NEYRA ROJAS JOSE ERNESTO</t>
  </si>
  <si>
    <t>NEYRA ROJAS SANTOS JOSE MARIA</t>
  </si>
  <si>
    <t>JIHUALLANCA JIHUALLANCA EDILBERTO</t>
  </si>
  <si>
    <t>MANZANO MAMANI OMAR ALONSO</t>
  </si>
  <si>
    <t>CHURATA CHAMBI CRISTIAN</t>
  </si>
  <si>
    <t>CHURATA COILA FELIX</t>
  </si>
  <si>
    <t>QUISPE PEREDO MAXIMILIANA</t>
  </si>
  <si>
    <t>PEREZ DE COILA JULIA JESUS</t>
  </si>
  <si>
    <t>VALENCIA CHACON ELSA ROCIO</t>
  </si>
  <si>
    <t>MANSILLA FUENTES YANETH JACKELINE</t>
  </si>
  <si>
    <t>OCHOA PACHA GERALDINE</t>
  </si>
  <si>
    <t>MALAGA ZAMATA JOSUE</t>
  </si>
  <si>
    <t>VILLAROEL CRUZ VILMA</t>
  </si>
  <si>
    <t>TORRES SALAS FABIANA</t>
  </si>
  <si>
    <t>TORRES SALAS SEBASTIAN</t>
  </si>
  <si>
    <t>TORRES VILCA DEMETRIO</t>
  </si>
  <si>
    <t>APAZA ASQUI DAYSI FABIOLA</t>
  </si>
  <si>
    <t>AROTAIPE MOLLO GUMERCINDO</t>
  </si>
  <si>
    <t>HUAMANI GARCIA, CINTHIA</t>
  </si>
  <si>
    <t>AROTAIPE HUAMANI, YORBUS TEVES</t>
  </si>
  <si>
    <t>SACSI CONDORI DINO</t>
  </si>
  <si>
    <t>ROJAS CHOQUE LUZ</t>
  </si>
  <si>
    <t>MORALES ZUÑIGA MARINA</t>
  </si>
  <si>
    <t>QUIROZ MORALES DARALY</t>
  </si>
  <si>
    <t>CURAHUA ANDRADE SALVADOR</t>
  </si>
  <si>
    <t>CANO ESPINOZA JOSEPH</t>
  </si>
  <si>
    <t>APAZA PARI ANI LUZ</t>
  </si>
  <si>
    <t xml:space="preserve"> </t>
  </si>
  <si>
    <t>CHAVEZ PAREDES DELVA</t>
  </si>
  <si>
    <t>PARISACA APAZA JUDITH ESPERANZA</t>
  </si>
  <si>
    <t>CONDORI CCACHUCO DAVID</t>
  </si>
  <si>
    <t>SANTOS CANAZA MICHELL</t>
  </si>
  <si>
    <t>116137</t>
  </si>
  <si>
    <t>123770</t>
  </si>
  <si>
    <t>120021</t>
  </si>
  <si>
    <t>119183</t>
  </si>
  <si>
    <t>103278</t>
  </si>
  <si>
    <t>103667</t>
  </si>
  <si>
    <t>117471</t>
  </si>
  <si>
    <t>124963</t>
  </si>
  <si>
    <t>106153</t>
  </si>
  <si>
    <t>118378</t>
  </si>
  <si>
    <t>110587</t>
  </si>
  <si>
    <t>124401</t>
  </si>
  <si>
    <t>113448</t>
  </si>
  <si>
    <t>117167</t>
  </si>
  <si>
    <t>123325</t>
  </si>
  <si>
    <t>111073</t>
  </si>
  <si>
    <t>106537</t>
  </si>
  <si>
    <t>110332</t>
  </si>
  <si>
    <t>122069</t>
  </si>
  <si>
    <t>104714</t>
  </si>
  <si>
    <t>123795</t>
  </si>
  <si>
    <t>114506</t>
  </si>
  <si>
    <t>118976</t>
  </si>
  <si>
    <t>112177</t>
  </si>
  <si>
    <t>122085</t>
  </si>
  <si>
    <t>110321</t>
  </si>
  <si>
    <t>106819</t>
  </si>
  <si>
    <t>124904</t>
  </si>
  <si>
    <t>119157</t>
  </si>
  <si>
    <t>105320</t>
  </si>
  <si>
    <t>113412</t>
  </si>
  <si>
    <t>106488</t>
  </si>
  <si>
    <t>123434</t>
  </si>
  <si>
    <t>112441</t>
  </si>
  <si>
    <t>117364</t>
  </si>
  <si>
    <t>110023</t>
  </si>
  <si>
    <t>106564</t>
  </si>
  <si>
    <t>111846</t>
  </si>
  <si>
    <t>B2X-326</t>
  </si>
  <si>
    <t>V4T-373</t>
  </si>
  <si>
    <t>V4Q-555</t>
  </si>
  <si>
    <t>V6X-123</t>
  </si>
  <si>
    <t>C2D-484</t>
  </si>
  <si>
    <t>V4A-569</t>
  </si>
  <si>
    <t>V3H-006</t>
  </si>
  <si>
    <t>V3R-590</t>
  </si>
  <si>
    <t>V2U-473</t>
  </si>
  <si>
    <t>V5L-508</t>
  </si>
  <si>
    <t>V2Z-076</t>
  </si>
  <si>
    <t>V3T-683</t>
  </si>
  <si>
    <t>X1B-055</t>
  </si>
  <si>
    <t>V5O-263</t>
  </si>
  <si>
    <t>V2W-545</t>
  </si>
  <si>
    <t>V5S-118</t>
  </si>
  <si>
    <t>V1J-963</t>
  </si>
  <si>
    <t>Z3A-752</t>
  </si>
  <si>
    <t>V5Y-046</t>
  </si>
  <si>
    <t>FH-1646</t>
  </si>
  <si>
    <t>V3T-258</t>
  </si>
  <si>
    <t>ADM-278</t>
  </si>
  <si>
    <t>V3K-369</t>
  </si>
  <si>
    <t>V2V-305</t>
  </si>
  <si>
    <t>A8T-705</t>
  </si>
  <si>
    <t>F8G-102</t>
  </si>
  <si>
    <t>C7W-609</t>
  </si>
  <si>
    <t>V5X-467</t>
  </si>
  <si>
    <t>6995-9M</t>
  </si>
  <si>
    <t>V2G-608</t>
  </si>
  <si>
    <t>V5J-463</t>
  </si>
  <si>
    <t>V2B-246</t>
  </si>
  <si>
    <t>V2V-009</t>
  </si>
  <si>
    <t>V5U-487</t>
  </si>
  <si>
    <t>A6Y-587</t>
  </si>
  <si>
    <t>V4Y-131</t>
  </si>
  <si>
    <t>V2F-089</t>
  </si>
  <si>
    <t>D4X-631</t>
  </si>
  <si>
    <t>MEDINA CENTENO OSCAR</t>
  </si>
  <si>
    <t>MOZOMBITE DEL AGUILA OFELIA</t>
  </si>
  <si>
    <t>SOTO ALEJO MARIA</t>
  </si>
  <si>
    <t>MAMANI ROQUE LUIS</t>
  </si>
  <si>
    <t>PORTILLO CALLO ROGATO</t>
  </si>
  <si>
    <t>OCHOA MEDINA ALBERTO</t>
  </si>
  <si>
    <t>ABARCA FERNANDEZ WALTER</t>
  </si>
  <si>
    <t>SANCCA LLACHO MELCHOR</t>
  </si>
  <si>
    <t>PORTUGAL ALVAREZ TAREC</t>
  </si>
  <si>
    <t>WILSON PANCA DAVIS</t>
  </si>
  <si>
    <t>PARI TITO GABINO</t>
  </si>
  <si>
    <t>CCUNO YANA FREDDY</t>
  </si>
  <si>
    <t>VILCA VEGA CECILIA ZOILA</t>
  </si>
  <si>
    <t>CALAPUJA TURPO EVA</t>
  </si>
  <si>
    <t>HUAYHUA NINAVILCA PERCY</t>
  </si>
  <si>
    <t>ALVAREZ MUÑOZ DELVIA</t>
  </si>
  <si>
    <t>ORTIZ MANRIQUE MARIA</t>
  </si>
  <si>
    <t>CHOQUE QUILLA RAUL FRANCIS</t>
  </si>
  <si>
    <t>CHURA QUISPE GUSTAVO ANDRES</t>
  </si>
  <si>
    <t>SOTO VILCHEZ JESUS</t>
  </si>
  <si>
    <t>DELGADO ANDRADE JONATHAN WILBER</t>
  </si>
  <si>
    <t>HUAMAN SANCHEZ CECILIA</t>
  </si>
  <si>
    <t>JARA LAZARINOS SERGIO ALONZO</t>
  </si>
  <si>
    <t>BENITES CAMINO MARIA ISABEL</t>
  </si>
  <si>
    <t>CASTILLA CHAHUA SAYDA</t>
  </si>
  <si>
    <t>DEL CARPIO YANA MARIA</t>
  </si>
  <si>
    <t>CABANA MAMANI JAIME</t>
  </si>
  <si>
    <t>SALAZAR ALVAREZ SONIA</t>
  </si>
  <si>
    <t>PAZ HUME MAX</t>
  </si>
  <si>
    <t>GUTIERREZ POCAHUANCIO GRISELDA</t>
  </si>
  <si>
    <t>GARATE SIERRA SHARON ANDREINA</t>
  </si>
  <si>
    <t>NINA RONCALLA LOURDES</t>
  </si>
  <si>
    <t>BEIZAGA VERA LEIDY</t>
  </si>
  <si>
    <t>SAMBRANO CUBA GUALBERTO</t>
  </si>
  <si>
    <t>CANO MAMANI SARA ELIZABETH</t>
  </si>
  <si>
    <t>NEYRA CORDOVA LUIS GUSTAVO</t>
  </si>
  <si>
    <t>HUANACUNI MAMANI HENRY</t>
  </si>
  <si>
    <t>HUANACUNI MAMANI LUIS ALBERTO</t>
  </si>
  <si>
    <t>QUISPE MAMANI VICTORIA</t>
  </si>
  <si>
    <t>NINAYA TORRES JORGE</t>
  </si>
  <si>
    <t>AQUINO PARARI ABIDAN ABELARDO</t>
  </si>
  <si>
    <t>SANCHEZ LOZANO DANIEL</t>
  </si>
  <si>
    <t>APAZA SULLO ROLANDO</t>
  </si>
  <si>
    <t>CAHUANA CARDENAS LEON OSCAR</t>
  </si>
  <si>
    <t>TUERO TORRES JUAN</t>
  </si>
  <si>
    <t>RAMIREZ ALVAREZ MADELEINE</t>
  </si>
  <si>
    <t>CARPIO VALDERRAMA GABRIELA</t>
  </si>
  <si>
    <t>ALVAREZ NEYRA FEDERICO</t>
  </si>
  <si>
    <t>YANQUI RAMIREZ MARCO ANTONIO</t>
  </si>
  <si>
    <t>COTRINA GUTIERREZ LIZANDRA</t>
  </si>
  <si>
    <t>PARIACASA HUAMANI MARIO</t>
  </si>
  <si>
    <t>AYALA TORRES LOURDES ANGELINA</t>
  </si>
  <si>
    <t>PARIAPASA AYALA SAMUEL</t>
  </si>
  <si>
    <t>PARIAPAZA AYALA MARIANGELES</t>
  </si>
  <si>
    <t>DELGADO CAMPOS RODOLFO</t>
  </si>
  <si>
    <t>122619</t>
  </si>
  <si>
    <t>121929</t>
  </si>
  <si>
    <t>120127</t>
  </si>
  <si>
    <t>114454</t>
  </si>
  <si>
    <t>123687</t>
  </si>
  <si>
    <t>115560</t>
  </si>
  <si>
    <t>120211</t>
  </si>
  <si>
    <t>117534</t>
  </si>
  <si>
    <t>114714</t>
  </si>
  <si>
    <t>106681</t>
  </si>
  <si>
    <t>121798</t>
  </si>
  <si>
    <t>118677</t>
  </si>
  <si>
    <t>124248</t>
  </si>
  <si>
    <t>120907</t>
  </si>
  <si>
    <t>105440</t>
  </si>
  <si>
    <t>112913</t>
  </si>
  <si>
    <t>113387</t>
  </si>
  <si>
    <t>118436</t>
  </si>
  <si>
    <t>126065</t>
  </si>
  <si>
    <t>106176</t>
  </si>
  <si>
    <t>125939</t>
  </si>
  <si>
    <t>122097</t>
  </si>
  <si>
    <t>115656</t>
  </si>
  <si>
    <t>118151</t>
  </si>
  <si>
    <t>115597</t>
  </si>
  <si>
    <t>113921</t>
  </si>
  <si>
    <t>124539</t>
  </si>
  <si>
    <t>120679</t>
  </si>
  <si>
    <t>113079</t>
  </si>
  <si>
    <t>127857</t>
  </si>
  <si>
    <t>126276</t>
  </si>
  <si>
    <t>103477</t>
  </si>
  <si>
    <t>120771</t>
  </si>
  <si>
    <t>122843</t>
  </si>
  <si>
    <t>119811</t>
  </si>
  <si>
    <t>106688</t>
  </si>
  <si>
    <t>124803</t>
  </si>
  <si>
    <t>126177</t>
  </si>
  <si>
    <t>106558</t>
  </si>
  <si>
    <t>127463</t>
  </si>
  <si>
    <t>113897</t>
  </si>
  <si>
    <t>103809</t>
  </si>
  <si>
    <t>114170</t>
  </si>
  <si>
    <t>127789</t>
  </si>
  <si>
    <t>122222</t>
  </si>
  <si>
    <t>114009</t>
  </si>
  <si>
    <t>112995</t>
  </si>
  <si>
    <t>A9Z-711</t>
  </si>
  <si>
    <t>V2Q-681</t>
  </si>
  <si>
    <t>V4N-205</t>
  </si>
  <si>
    <t>Z3N-751</t>
  </si>
  <si>
    <t>V4Q-488</t>
  </si>
  <si>
    <t>V1A-384</t>
  </si>
  <si>
    <t>0340-4B</t>
  </si>
  <si>
    <t>V5M-299</t>
  </si>
  <si>
    <t>V2D-676</t>
  </si>
  <si>
    <t>Z2C-117</t>
  </si>
  <si>
    <t>Z4U-822</t>
  </si>
  <si>
    <t>V7C-235</t>
  </si>
  <si>
    <t>V4X-276</t>
  </si>
  <si>
    <t>SH-6565</t>
  </si>
  <si>
    <t>V5S-551</t>
  </si>
  <si>
    <t>EH-7334</t>
  </si>
  <si>
    <t>V6W-125</t>
  </si>
  <si>
    <t>V5V-638</t>
  </si>
  <si>
    <t>V2M-262</t>
  </si>
  <si>
    <t>V4E-249</t>
  </si>
  <si>
    <t>V5K-691</t>
  </si>
  <si>
    <t>V5G-402</t>
  </si>
  <si>
    <t>V1S-781</t>
  </si>
  <si>
    <t>V3R-452</t>
  </si>
  <si>
    <t>A9V-424</t>
  </si>
  <si>
    <t>V3T-542</t>
  </si>
  <si>
    <t>V2G-681</t>
  </si>
  <si>
    <t>V6C-868</t>
  </si>
  <si>
    <t>Y1M-647</t>
  </si>
  <si>
    <t>V2S-113</t>
  </si>
  <si>
    <t>Z1Z-704</t>
  </si>
  <si>
    <t>MH-10711</t>
  </si>
  <si>
    <t>V3I-220</t>
  </si>
  <si>
    <t>V3T-692</t>
  </si>
  <si>
    <t>V1D-789</t>
  </si>
  <si>
    <t>V1M-794</t>
  </si>
  <si>
    <t>V3V-680</t>
  </si>
  <si>
    <t>V3K-248</t>
  </si>
  <si>
    <t>V5C-419</t>
  </si>
  <si>
    <t>V4V-655</t>
  </si>
  <si>
    <t>V6A-674</t>
  </si>
  <si>
    <t>V4J-466</t>
  </si>
  <si>
    <t>V3X-427</t>
  </si>
  <si>
    <t>V4O-538</t>
  </si>
  <si>
    <t>V2E-588</t>
  </si>
  <si>
    <t>V3P-622</t>
  </si>
  <si>
    <t>TAPIA QUEA JULIANA I.</t>
  </si>
  <si>
    <t>FLORES MURGUIA REYNALDO MATHIAS</t>
  </si>
  <si>
    <t>FLORES MACEDO ANGEL FRANCISCO</t>
  </si>
  <si>
    <t>NUÑEZ LLACSA MIGUEL ANGEL</t>
  </si>
  <si>
    <t>QUISPE GUTIERREZ MARIO A.</t>
  </si>
  <si>
    <t>CARLOS LLAVE YRENE</t>
  </si>
  <si>
    <t>VILCA ARIAS ANGELICA</t>
  </si>
  <si>
    <t>ALHUIRCA FIGUEROA GLADYS</t>
  </si>
  <si>
    <t>LUQUE ARENAS ROBERT</t>
  </si>
  <si>
    <t>LUQUE ALHUIRCA YORDY</t>
  </si>
  <si>
    <t>LUQUE ALHUIRCA LIZ</t>
  </si>
  <si>
    <t>CHOQUE YANQUE EDWIN</t>
  </si>
  <si>
    <t>CHURAPA PARICAHUA RUTH</t>
  </si>
  <si>
    <t>APAZA BERNAL ANGEL</t>
  </si>
  <si>
    <t>CRUZ MIRANDA CINTHIA</t>
  </si>
  <si>
    <t>MIRANDA CHIPANA DELIA</t>
  </si>
  <si>
    <t>TANCA SUTTA RICARDO</t>
  </si>
  <si>
    <t>FLORES TAMO ESCOLASTICO</t>
  </si>
  <si>
    <t>PECCA TULA ALDO</t>
  </si>
  <si>
    <t>JARA CANAHUIRE MARTIN</t>
  </si>
  <si>
    <t>ZAPANA COHILA FILOMENA CIRILA</t>
  </si>
  <si>
    <t>LUQUE FERNANDEZ JOSE HERNAN</t>
  </si>
  <si>
    <t>SANCHEZ RODRIGUEZ ALEXANDER EDUARDO</t>
  </si>
  <si>
    <t>RODRIGO QUISPE RUTH KARINA</t>
  </si>
  <si>
    <t>VALDIVIA DIAZ MAGALY</t>
  </si>
  <si>
    <t>DIAZ FERNANDEZ INES</t>
  </si>
  <si>
    <t>CHARA QUISPE NOEMI RAQUEL</t>
  </si>
  <si>
    <t>VALDIVIA VALDIVIA VERONICA</t>
  </si>
  <si>
    <t>RODRIGUEZ SALINAS DE BECERRA ELVIRA</t>
  </si>
  <si>
    <t>PEREYRA SALAZAR PERCY</t>
  </si>
  <si>
    <t>CONDORI COAGUILA ANDREINA</t>
  </si>
  <si>
    <t>LIMA ZUÑIGA PAULO CESAR</t>
  </si>
  <si>
    <t>CERVANTES HURTADO FABIOLA</t>
  </si>
  <si>
    <t>CERVANTES HURTADO RUBY</t>
  </si>
  <si>
    <t xml:space="preserve">PALOMINO HUAYTA ANAHI GLENDY </t>
  </si>
  <si>
    <t>CARRASCO NIETO ABIGAIL</t>
  </si>
  <si>
    <t xml:space="preserve"> SALAS LOPE RONY CHRISTIANS</t>
  </si>
  <si>
    <t>TURPO GOMEZ IBRAIN GONZALO</t>
  </si>
  <si>
    <t>SONCCO UMAÑA DE MONRROY EUSEBIA</t>
  </si>
  <si>
    <t>APAZA CHARCA ARTURO</t>
  </si>
  <si>
    <t>AMEZQUITA MEDINA CARLOS</t>
  </si>
  <si>
    <t>MEZA ROMERO MIRIAM</t>
  </si>
  <si>
    <t>CHALCO GARCIA GEORGINA</t>
  </si>
  <si>
    <t>QUISPE HUAMANI LUZ</t>
  </si>
  <si>
    <t>ARCANA MAMANI NAZARIO</t>
  </si>
  <si>
    <t>ARCANA MAMANI GIRALDO</t>
  </si>
  <si>
    <t>VALDEZ DE HUAMAN VALENTINA</t>
  </si>
  <si>
    <t>PEZO DELGADO CARLA</t>
  </si>
  <si>
    <t>RAMOS BENITO ANGEL</t>
  </si>
  <si>
    <t>COAGUILA LUNA NOEMI</t>
  </si>
  <si>
    <t>AGUILAR COAGUILA DANITZA</t>
  </si>
  <si>
    <t>LIMA MAMANI DOMINGA JUANA</t>
  </si>
  <si>
    <t>CAHUANA LIMA MILAGROS</t>
  </si>
  <si>
    <t>TICONA FOLLANO JULIO CESAR</t>
  </si>
  <si>
    <t>GUARDIA INGA JONAS</t>
  </si>
  <si>
    <t>VELASQUEZ ARAGON PATRICIA</t>
  </si>
  <si>
    <t>SANCHEZ VELASQUEZ MILUSKA</t>
  </si>
  <si>
    <t>SERRANO HERRERA THALIA</t>
  </si>
  <si>
    <t>SERRANO HERRERA CLUNY ARLETTE</t>
  </si>
  <si>
    <t>VALENCIA MUÑOZ GABY</t>
  </si>
  <si>
    <t>ALVAREZ SERRANO IKER</t>
  </si>
  <si>
    <t>HERRERA APAZA CLOTILDE</t>
  </si>
  <si>
    <t xml:space="preserve">PALLO MORALES MIRIAN </t>
  </si>
  <si>
    <t>PALLO MORALES MIRELLA</t>
  </si>
  <si>
    <t>MORALES BACA BEANE</t>
  </si>
  <si>
    <t>SUANI OCHOA ELIZABETH</t>
  </si>
  <si>
    <t>OCHOA MONTES JULIA</t>
  </si>
  <si>
    <t>SUANI OCHOA JANETH</t>
  </si>
  <si>
    <t>CUADROS BASURCO HONORATA</t>
  </si>
  <si>
    <t>PEREZ RODRIGUEZ ALONSO</t>
  </si>
  <si>
    <t>MENDOZA ZUANI BARBARA</t>
  </si>
  <si>
    <t>PEREZ RODRIGUEZ CLAUDIA</t>
  </si>
  <si>
    <t>RODRIGUEZ PONCE FLORA</t>
  </si>
  <si>
    <t>PAREDES ENRIQUEZ JESUS P</t>
  </si>
  <si>
    <t>PEREZ RODRIGUEZ MARIA V.</t>
  </si>
  <si>
    <t>BELLOTA CONDORI MANNY</t>
  </si>
  <si>
    <t>RAMIREZ BARREDA ALEXANDRA</t>
  </si>
  <si>
    <t>SANCHEZ CHAMBI ESTEFAN</t>
  </si>
  <si>
    <t>VELASCO HUAMANI PABLO JUAN</t>
  </si>
  <si>
    <t>HACCO SILVA FERNANDO</t>
  </si>
  <si>
    <t>SOTO MANUELO GIOVANNA</t>
  </si>
  <si>
    <t>ARANIBAR ARANIBAR JOHANNA</t>
  </si>
  <si>
    <t>HUAMANI ARANIBAR ASHLY</t>
  </si>
  <si>
    <t>CHAMBI VALERIANO LIZBETH</t>
  </si>
  <si>
    <t>MEDINA CONDORI REIVENS JOSE</t>
  </si>
  <si>
    <t>HUAHUAMULLO SERRANO FLOR</t>
  </si>
  <si>
    <t>PAUCAR NINA PASCUAL</t>
  </si>
  <si>
    <t>USCA AGUILAR DINA</t>
  </si>
  <si>
    <t>CHAIÑA DIAZ WILSON</t>
  </si>
  <si>
    <t>SOTO OVIEDO DE OCHOA MARINA</t>
  </si>
  <si>
    <t>MAMANI CARRIZALES ELISBAN</t>
  </si>
  <si>
    <t>BORDA QUISPE JUAN CARLOS</t>
  </si>
  <si>
    <t>LIPE CONDORI FABIOLA</t>
  </si>
  <si>
    <t>MACHADO ZEA ALESSANDRA ANTONELLA</t>
  </si>
  <si>
    <t>ELESCANO ROJAS FRANCISCO ARMANDO</t>
  </si>
  <si>
    <t>ALCAHUAMAN HUAMANI FREDY RAUL</t>
  </si>
  <si>
    <t>VILLALOBOS ESCARCENA JHON VITALIANO</t>
  </si>
  <si>
    <t>CARPIO MAMANI URSULA</t>
  </si>
  <si>
    <t>CAMANA - AREQUIPA</t>
  </si>
  <si>
    <t>ZUÑIGA CALLATA AGUSTIN</t>
  </si>
  <si>
    <t>120553</t>
  </si>
  <si>
    <t>124193</t>
  </si>
  <si>
    <t>112090</t>
  </si>
  <si>
    <t>124617</t>
  </si>
  <si>
    <t>126690</t>
  </si>
  <si>
    <t>113861</t>
  </si>
  <si>
    <t>114878</t>
  </si>
  <si>
    <t>121906</t>
  </si>
  <si>
    <t>120880</t>
  </si>
  <si>
    <t>125902</t>
  </si>
  <si>
    <t>111590</t>
  </si>
  <si>
    <t>106038</t>
  </si>
  <si>
    <t>116463</t>
  </si>
  <si>
    <t>128045</t>
  </si>
  <si>
    <t>116616</t>
  </si>
  <si>
    <t>112067</t>
  </si>
  <si>
    <t>117136</t>
  </si>
  <si>
    <t>112611</t>
  </si>
  <si>
    <t>117572</t>
  </si>
  <si>
    <t>118172</t>
  </si>
  <si>
    <t>123055</t>
  </si>
  <si>
    <t>114510</t>
  </si>
  <si>
    <t>112057</t>
  </si>
  <si>
    <t>115768</t>
  </si>
  <si>
    <t>113095</t>
  </si>
  <si>
    <t>111673</t>
  </si>
  <si>
    <t>103929</t>
  </si>
  <si>
    <t>124683</t>
  </si>
  <si>
    <t>121686</t>
  </si>
  <si>
    <t>125841</t>
  </si>
  <si>
    <t>126790</t>
  </si>
  <si>
    <t>127883</t>
  </si>
  <si>
    <t>112453</t>
  </si>
  <si>
    <t>123192</t>
  </si>
  <si>
    <t>114413</t>
  </si>
  <si>
    <t>V6D-281</t>
  </si>
  <si>
    <t>V3N-072</t>
  </si>
  <si>
    <t>V5I-357</t>
  </si>
  <si>
    <t>V3S-468</t>
  </si>
  <si>
    <t>V6Q-277</t>
  </si>
  <si>
    <t>V5L-372</t>
  </si>
  <si>
    <t>V6F-389</t>
  </si>
  <si>
    <t>V2N-072</t>
  </si>
  <si>
    <t>A2E-705</t>
  </si>
  <si>
    <t>V4P-049</t>
  </si>
  <si>
    <t>V5X-111</t>
  </si>
  <si>
    <t>92143C</t>
  </si>
  <si>
    <t>A2N-705</t>
  </si>
  <si>
    <t>V4C-015</t>
  </si>
  <si>
    <t>V4J-517</t>
  </si>
  <si>
    <t>V3V-226</t>
  </si>
  <si>
    <t>V1X-664</t>
  </si>
  <si>
    <t>V5W-607</t>
  </si>
  <si>
    <t>V1V-744</t>
  </si>
  <si>
    <t>V5G-136</t>
  </si>
  <si>
    <t>V3S-338</t>
  </si>
  <si>
    <t>V6N-456</t>
  </si>
  <si>
    <t>V1P-025</t>
  </si>
  <si>
    <t>V4C-264</t>
  </si>
  <si>
    <t>V4Y-244</t>
  </si>
  <si>
    <t>V5H-125</t>
  </si>
  <si>
    <t>Z2E-769</t>
  </si>
  <si>
    <t>V7X-847</t>
  </si>
  <si>
    <t>V5Y-528</t>
  </si>
  <si>
    <t>V4U-474</t>
  </si>
  <si>
    <t>B2K-708</t>
  </si>
  <si>
    <t>V3J-390</t>
  </si>
  <si>
    <t>X2Y-542</t>
  </si>
  <si>
    <t>A4X-730</t>
  </si>
  <si>
    <t>CONDORI ALI IRMA AMELIA</t>
  </si>
  <si>
    <t>CARRASCO VELAZCO NICOLAS</t>
  </si>
  <si>
    <t>PALIZA DE CARPIO JUAREZ KATIA SUSAN</t>
  </si>
  <si>
    <t>JUAREZ TRUJILLO MARIA ANGELICA</t>
  </si>
  <si>
    <t>ZAMBRANO MARTINEZ TIAGO</t>
  </si>
  <si>
    <t>CHAVEZ MARIBEL</t>
  </si>
  <si>
    <t>ZAMBRANO MARTINEZ DOHADNY</t>
  </si>
  <si>
    <t>NOLASCO ORTEGA RENATO</t>
  </si>
  <si>
    <t>HERRERA PACHECO WILFREDO</t>
  </si>
  <si>
    <t>CARDENAS MARILUZ PRISCILA CLARITZA</t>
  </si>
  <si>
    <t>LUNA MARILUZ MILER</t>
  </si>
  <si>
    <t>QUISPE FLORES LUZMILA</t>
  </si>
  <si>
    <t>MUJICA HUAYLLA VICENTE</t>
  </si>
  <si>
    <t>MAQUERA FLORES CARMEN</t>
  </si>
  <si>
    <t>MAMANI LAROTA ANA MARIA</t>
  </si>
  <si>
    <t>CARRASCO GAMBOA MARY</t>
  </si>
  <si>
    <t>CCOSI GARAY JESUS PABLO</t>
  </si>
  <si>
    <t>LAUREANO CHAVEZ HILDER</t>
  </si>
  <si>
    <t>DIOSES ALA PERSI JOSE</t>
  </si>
  <si>
    <t>QUISPE OTAZU ANGELICA</t>
  </si>
  <si>
    <t>CHUCTAYA CHUCTAYA ROBERTO</t>
  </si>
  <si>
    <t>CASTRO LLASCANOA NORMA</t>
  </si>
  <si>
    <t xml:space="preserve">LLASCANOA CALLASI REGINA </t>
  </si>
  <si>
    <t>QUISPE DIAZ LEONIDAS ANTONIO</t>
  </si>
  <si>
    <t>SALAS COAQUIRA ANGEL SANTIAGO</t>
  </si>
  <si>
    <t>PILCO CHURATA JEAN FRANCO</t>
  </si>
  <si>
    <t>TACO HINOSTROZA MARIA</t>
  </si>
  <si>
    <t>MEDINA APAZA ANTONIA</t>
  </si>
  <si>
    <t xml:space="preserve">CALDERON TEJADA ELIZABETH </t>
  </si>
  <si>
    <t>RAMIREZ CHACONDORI LUIS</t>
  </si>
  <si>
    <t>GARCIA DIAZ BRANDON</t>
  </si>
  <si>
    <t xml:space="preserve">OLMEDO CORVENIA ALEXANDER </t>
  </si>
  <si>
    <t>LUNA LEON NOELIA</t>
  </si>
  <si>
    <t>HUARACHA ORTIZ VANESSA</t>
  </si>
  <si>
    <t>SIVINCHA NEYRA LUCY ISABEL</t>
  </si>
  <si>
    <t>CAYO CARLOS JAIME DAVID</t>
  </si>
  <si>
    <t>MEDINA MEDINA SILVIO AUGUSTO</t>
  </si>
  <si>
    <t>QUISPE PANDIA PASTORA</t>
  </si>
  <si>
    <t>ZEGARRA PAREDES CARMEN</t>
  </si>
  <si>
    <t>CARMONA REYES RAFAEL</t>
  </si>
  <si>
    <t>CCAPA ATENCIO JHON KELVIN</t>
  </si>
  <si>
    <t>ROJAS CARI ELIZABETH</t>
  </si>
  <si>
    <t>CUNO COLCA HUMBERTA</t>
  </si>
  <si>
    <t>ZANTALLA CONDORI JHONNY ULISES</t>
  </si>
  <si>
    <t>FUENTES CHAVEZ MARCELA</t>
  </si>
  <si>
    <t>APAZA HUMPIRE LORENZA</t>
  </si>
  <si>
    <t>SALAS DE LA TORRES ROSALVINA</t>
  </si>
  <si>
    <t>SUMERENTE PINEDA SOFIA</t>
  </si>
  <si>
    <t>AÑAMURO QUISPE ZORAIDA</t>
  </si>
  <si>
    <t>119851</t>
  </si>
  <si>
    <t>115152</t>
  </si>
  <si>
    <t>127986</t>
  </si>
  <si>
    <t>117011</t>
  </si>
  <si>
    <t>119230</t>
  </si>
  <si>
    <t>120636</t>
  </si>
  <si>
    <t>127408</t>
  </si>
  <si>
    <t>126749</t>
  </si>
  <si>
    <t>118852</t>
  </si>
  <si>
    <t>116138</t>
  </si>
  <si>
    <t>114736</t>
  </si>
  <si>
    <t>118862</t>
  </si>
  <si>
    <t>106535</t>
  </si>
  <si>
    <t>127542</t>
  </si>
  <si>
    <t>128528</t>
  </si>
  <si>
    <t>106727</t>
  </si>
  <si>
    <t>126995</t>
  </si>
  <si>
    <t>113219</t>
  </si>
  <si>
    <t>124340</t>
  </si>
  <si>
    <t>123664</t>
  </si>
  <si>
    <t>123987</t>
  </si>
  <si>
    <t>106288</t>
  </si>
  <si>
    <t>123097</t>
  </si>
  <si>
    <t>114133</t>
  </si>
  <si>
    <t>122048</t>
  </si>
  <si>
    <t>114464</t>
  </si>
  <si>
    <t>128030</t>
  </si>
  <si>
    <t>129220</t>
  </si>
  <si>
    <t>130033</t>
  </si>
  <si>
    <t>129065</t>
  </si>
  <si>
    <t>128803</t>
  </si>
  <si>
    <t>125486</t>
  </si>
  <si>
    <t>114171</t>
  </si>
  <si>
    <t>124558</t>
  </si>
  <si>
    <t>V5W-086</t>
  </si>
  <si>
    <t>V3Y-090</t>
  </si>
  <si>
    <t>V3P-035</t>
  </si>
  <si>
    <t>V1I-564</t>
  </si>
  <si>
    <t>V2Z-314</t>
  </si>
  <si>
    <t>V5F-208</t>
  </si>
  <si>
    <t>V1M-391</t>
  </si>
  <si>
    <t>V5V-596</t>
  </si>
  <si>
    <t>V5K-645</t>
  </si>
  <si>
    <t>V6T-021</t>
  </si>
  <si>
    <t>V4C-674</t>
  </si>
  <si>
    <t>V1V-407</t>
  </si>
  <si>
    <t>V2V-079</t>
  </si>
  <si>
    <t>V2Q-691</t>
  </si>
  <si>
    <t>X4I-962</t>
  </si>
  <si>
    <t>V2T-263</t>
  </si>
  <si>
    <t>V5F-191</t>
  </si>
  <si>
    <t>Y1H-799</t>
  </si>
  <si>
    <t>V4L-480</t>
  </si>
  <si>
    <t>B1B-734</t>
  </si>
  <si>
    <t>V3G-371</t>
  </si>
  <si>
    <t>V5D-368</t>
  </si>
  <si>
    <t>V4Q-145</t>
  </si>
  <si>
    <t>V5P-856</t>
  </si>
  <si>
    <t>V4P-251</t>
  </si>
  <si>
    <t>V3O-376</t>
  </si>
  <si>
    <t>V5D-336</t>
  </si>
  <si>
    <t>V1Z-676</t>
  </si>
  <si>
    <t>V5A-165</t>
  </si>
  <si>
    <t>V5D-479</t>
  </si>
  <si>
    <t>V6T-378</t>
  </si>
  <si>
    <t>Z3N-566</t>
  </si>
  <si>
    <t>V2X-029</t>
  </si>
  <si>
    <t>MONROY VILCA ROGER</t>
  </si>
  <si>
    <t>HUARANCA SILVA OLGA</t>
  </si>
  <si>
    <t>ROJAS CORIPUNA CATHERINE</t>
  </si>
  <si>
    <t>REAÑO DEVERA BERNARDINO</t>
  </si>
  <si>
    <t>PINTO GUTIERREZ PAOLA ALEJANDRA</t>
  </si>
  <si>
    <t>PROROA ARAUJO DEYSI</t>
  </si>
  <si>
    <t>MAMANI ACSARA MARLENE</t>
  </si>
  <si>
    <t>PAREDES MAMANI JULIO</t>
  </si>
  <si>
    <t>MACHACA MAMANI TEOFILO</t>
  </si>
  <si>
    <t>MENDOZA GONZALES ADRIANO</t>
  </si>
  <si>
    <t>MONTESINOS MERMA RITA</t>
  </si>
  <si>
    <t>CANSAYA CONDORI NAYSHA</t>
  </si>
  <si>
    <t>LOPEZ SALAZAR ESTEBAN</t>
  </si>
  <si>
    <t>CHAMBI APAZA MARITZA</t>
  </si>
  <si>
    <t>HUAMANI CALLOAPAZA ELENA JULIA</t>
  </si>
  <si>
    <t>BEGAZO HUAMANI DAVIN ALEXI</t>
  </si>
  <si>
    <t>MALAGA PORTOCARRERO ELIANA</t>
  </si>
  <si>
    <t>RAFAEL AGUILAR MELIZA</t>
  </si>
  <si>
    <t>CONCHUCOS MALAGA JAKE</t>
  </si>
  <si>
    <t>CONCHUCOS MALAGA MILAGROS</t>
  </si>
  <si>
    <t>QUISPE RAFAEL ABIGAIL</t>
  </si>
  <si>
    <t>CANAZA PAREDES DEIVID</t>
  </si>
  <si>
    <t>TACO MOLLO RAUL RUBEN</t>
  </si>
  <si>
    <t>CONDORI CHOQUEHUANCA PATRICIA MARIA</t>
  </si>
  <si>
    <t>HUAMANI BUSTOS KARL D' ANGELO</t>
  </si>
  <si>
    <t>QUISPE ZAPANA JOSE ANTONIO</t>
  </si>
  <si>
    <t>MEJIA PAZ JOSEFINA</t>
  </si>
  <si>
    <t>ROSALES CALLE ROSARIO LUZ</t>
  </si>
  <si>
    <t>MUÑOZ CARPIO CARLA</t>
  </si>
  <si>
    <t>COILA CALISAYA CARLOS</t>
  </si>
  <si>
    <t>PARRA QUISPE FLORENTINA</t>
  </si>
  <si>
    <t>MAMANI HUACOTO JUNIO</t>
  </si>
  <si>
    <t>GONZA SUCAPUCA ROSA</t>
  </si>
  <si>
    <t>CERVANTES DE AMADO FRANCISCA</t>
  </si>
  <si>
    <t>PEZO MAMANI AYJHORIA</t>
  </si>
  <si>
    <t>MAMANI PANIBRA, CIPRIANO</t>
  </si>
  <si>
    <t>REVILLA DE RODRIGUEZ HORTENCIA</t>
  </si>
  <si>
    <t>DE LA CRUZ ACOSTA JOSE LUIS</t>
  </si>
  <si>
    <t>CAMACHO RIVERA NATALIE</t>
  </si>
  <si>
    <t>LOPEZ PANIURA DAMIAN</t>
  </si>
  <si>
    <t>SURCO LAJO WALTER</t>
  </si>
  <si>
    <t>CCAHUANA DURAN YONY DESENIA</t>
  </si>
  <si>
    <t>ESCALANTE SIERRA ADRIAN</t>
  </si>
  <si>
    <t>DIAZ PONCE MAXIMO</t>
  </si>
  <si>
    <t>PAUCA DELGADO JEAN CARLO</t>
  </si>
  <si>
    <t>GALLEGOS GOMEZ SUSANA</t>
  </si>
  <si>
    <t>CHAMBI PANCCA JOSE LUIS</t>
  </si>
  <si>
    <t>BEGAZO HUAYRA TOMASA</t>
  </si>
  <si>
    <t>CORONADO LLERENA GLORIA</t>
  </si>
  <si>
    <t>ARAOZ YBARCENA NELSON EDUARDO</t>
  </si>
  <si>
    <t>OLMOS HUILLCA DE RANILLA CECILIA</t>
  </si>
  <si>
    <t>VALDIVIA DE FIGUEROA YENNY</t>
  </si>
  <si>
    <t>FIGUEROA VALDIVIA JOSELINE</t>
  </si>
  <si>
    <t>FIGUEROA VALDIVIA JOHANY</t>
  </si>
  <si>
    <t>FIGUEROA SAAVEDRA JUAN DAVID</t>
  </si>
  <si>
    <t>VILCA MOLLOAPAZA MARIBEL</t>
  </si>
  <si>
    <t>GUERRA VILCA MIRELLA</t>
  </si>
  <si>
    <t>MAMANI VILCA MICHEL</t>
  </si>
  <si>
    <t>CASQUINO PARISACA MARCO ANTONIO</t>
  </si>
  <si>
    <t>ZAPANA CHACNAMA NATALY</t>
  </si>
  <si>
    <t>VERA LUDEÑA SEGUNDO MELCHOR</t>
  </si>
  <si>
    <t>CERVANTES CHOQUE ELIZABETH</t>
  </si>
  <si>
    <t>BENDEZU JAURIGUE SAULO</t>
  </si>
  <si>
    <t>MURGUIA DELGADO PRAXIDES</t>
  </si>
  <si>
    <t>CASAVERDE MURGUIA JOSE ENRIQUE</t>
  </si>
  <si>
    <t>ARREDONDO COAQUIRA GUISELLE</t>
  </si>
  <si>
    <t>DIAZ MIRANDA RONALD</t>
  </si>
  <si>
    <t>MAMANI ANCCO SHIRLEY MERCEDES</t>
  </si>
  <si>
    <t>AYLLON SANCHEZ JOSE</t>
  </si>
  <si>
    <t>BENAVIDES CONDORI JHAZMANY</t>
  </si>
  <si>
    <t>RONDON FLORES PAOLA</t>
  </si>
  <si>
    <t>CRUZ TORRES RUBI ADELY</t>
  </si>
  <si>
    <t>PEREZ MAYHUA VICTOR RAUL</t>
  </si>
  <si>
    <t>ORIHUELA FERNANDEZ ANGELICA</t>
  </si>
  <si>
    <t>PANIAGUA JIMENEZ RAFAEL WALTER</t>
  </si>
  <si>
    <t>MARROQUIN LLERENA PEREGRINA</t>
  </si>
  <si>
    <t>CALCINA CACERES YESENIA</t>
  </si>
  <si>
    <t>ARPI HOLGUIN MARGARITA</t>
  </si>
  <si>
    <t>ZUÑIGA VIGIL YAMIL</t>
  </si>
  <si>
    <t>TELLES ZUÑIGA SOPHIA</t>
  </si>
  <si>
    <t>HUAMANI HUAMANVILCA LUIS ALBERTO</t>
  </si>
  <si>
    <t>HERRERA CALATAYUD MARIA DEL SOCORRO</t>
  </si>
  <si>
    <t>MARIN FLORES MATIAS</t>
  </si>
  <si>
    <t xml:space="preserve">ARAPA CHAMBI ARMANDO </t>
  </si>
  <si>
    <t>MAMANI TITO JESSICA</t>
  </si>
  <si>
    <t>NAVARRO SALAZAR ALBINA</t>
  </si>
  <si>
    <t>MAYTA CHILO JHONNY</t>
  </si>
  <si>
    <t>ROSAS QUISPE BRINET</t>
  </si>
  <si>
    <t>IDIAQUEZ SALVADOR MELANY</t>
  </si>
  <si>
    <t>TOVAR MADARIAGA RICHARD</t>
  </si>
  <si>
    <t>DUEÑAS ESTREMADOYRO LUISA ANDREA</t>
  </si>
  <si>
    <t>GARCIA CHIHUANTA MARIA CARMELITA</t>
  </si>
  <si>
    <t>MORAN ESPINOZA VERONICA</t>
  </si>
  <si>
    <t>MORALES MORAN ELBER ALBINO</t>
  </si>
  <si>
    <t>MAMANI MAMANI IRENE</t>
  </si>
  <si>
    <t>NUÑEZ SALAZAR AMANDA CRISTINA</t>
  </si>
  <si>
    <t>YANCAPALLO CONDORI NICOLE</t>
  </si>
  <si>
    <t>YANCAPALLO CONDORI LUIS</t>
  </si>
  <si>
    <t>MAMANI MAMANI PERCY FROILAN</t>
  </si>
  <si>
    <t>TAZA MAMANI JUAN ALBERTO</t>
  </si>
  <si>
    <t>RODRIGUEZ RODRIGUEZ ANA</t>
  </si>
  <si>
    <t>ABARCA PACHECO LADY</t>
  </si>
  <si>
    <t>HUACHACA COSCO NICOLAS</t>
  </si>
  <si>
    <t>OCHOCHOQUE VILAVILA CEFERINA</t>
  </si>
  <si>
    <t>TRUJILLO PAJA GABY DANAE</t>
  </si>
  <si>
    <t>MAYORGA VALENCIA JOSE IGNACIO</t>
  </si>
  <si>
    <t>CARPIO LLICA SANDRO YAMIL</t>
  </si>
  <si>
    <t>HUILLCA LIPA BASILIA</t>
  </si>
  <si>
    <t>ORTIZ CORIHUAMAN JULIO SALOMON</t>
  </si>
  <si>
    <t>ZAMBRANO CHOQUE RICHARD</t>
  </si>
  <si>
    <t>MAMANI ORTIZ MARCO</t>
  </si>
  <si>
    <t>GONZALES RAMOS KARLA JANETH</t>
  </si>
  <si>
    <t>RAMOS BARRANTES BEATRIZ</t>
  </si>
  <si>
    <t>CASTRO LOPEZ YAMIL</t>
  </si>
  <si>
    <t>SUCAPUCA PPACCO SULLY LAYDE</t>
  </si>
  <si>
    <t>PILCO CANAZA DE GUZMAN ADELAIDA</t>
  </si>
  <si>
    <t>MULLISACA TITE LILIANA</t>
  </si>
  <si>
    <t>CONDORI TISNADO MONICA ELENA</t>
  </si>
  <si>
    <t>CHUTA CHECCORI LIBIO AMERICO</t>
  </si>
  <si>
    <t>CHUTA USCA PIERO</t>
  </si>
  <si>
    <t>CHUTA USCA GINO</t>
  </si>
  <si>
    <t>CUADROS DELGADO JOSE LEONARDO</t>
  </si>
  <si>
    <t>CRUZ MACHACA WERLY JOE</t>
  </si>
  <si>
    <t>V6N-621</t>
  </si>
  <si>
    <t>V5W-011</t>
  </si>
  <si>
    <t>V6O-078</t>
  </si>
  <si>
    <t>V7C-573</t>
  </si>
  <si>
    <t>V3Q-316</t>
  </si>
  <si>
    <t>V4B-407</t>
  </si>
  <si>
    <t>EH-7135</t>
  </si>
  <si>
    <t>C0F-006</t>
  </si>
  <si>
    <t>1213-1Z</t>
  </si>
  <si>
    <t>V5F-187</t>
  </si>
  <si>
    <t>V5Q-146</t>
  </si>
  <si>
    <t>V2B-659</t>
  </si>
  <si>
    <t>V3R-351</t>
  </si>
  <si>
    <t>V1E-962</t>
  </si>
  <si>
    <t>V3R-180</t>
  </si>
  <si>
    <t>V5F-582</t>
  </si>
  <si>
    <t>V7D-087</t>
  </si>
  <si>
    <t>V5Z-055</t>
  </si>
  <si>
    <t>V2P-385</t>
  </si>
  <si>
    <t>V2R-415</t>
  </si>
  <si>
    <t>Y1D-788</t>
  </si>
  <si>
    <t>V4O-247</t>
  </si>
  <si>
    <t>V1I-685</t>
  </si>
  <si>
    <t>C1J-492</t>
  </si>
  <si>
    <t>C7C-028</t>
  </si>
  <si>
    <t>V4H-184</t>
  </si>
  <si>
    <t>Z4B-757</t>
  </si>
  <si>
    <t>V5V-316</t>
  </si>
  <si>
    <t>ADD-197</t>
  </si>
  <si>
    <t>V3N-392</t>
  </si>
  <si>
    <t>V6O-590</t>
  </si>
  <si>
    <t>V1X-709</t>
  </si>
  <si>
    <t>A4D-737</t>
  </si>
  <si>
    <t>V5F-375</t>
  </si>
  <si>
    <t>V5V-966</t>
  </si>
  <si>
    <t>A4C-737</t>
  </si>
  <si>
    <t>H1A-778</t>
  </si>
  <si>
    <t>V5V-282</t>
  </si>
  <si>
    <t>V4B-229</t>
  </si>
  <si>
    <t>V1Y-456</t>
  </si>
  <si>
    <t>V3I-483</t>
  </si>
  <si>
    <t>V3E-229</t>
  </si>
  <si>
    <t>V2V-373</t>
  </si>
  <si>
    <t>X1G-210</t>
  </si>
  <si>
    <t>C7Z-312</t>
  </si>
  <si>
    <t>V2I-696</t>
  </si>
  <si>
    <t>U1A718</t>
  </si>
  <si>
    <t>V2Z-667</t>
  </si>
  <si>
    <t>NINA VILCAZAN JAVIER HILARIO</t>
  </si>
  <si>
    <t>CHAMBI SOTO BENEDICTA EMITERIA</t>
  </si>
  <si>
    <t>V6G-491</t>
  </si>
  <si>
    <t>CUBA FLORES EMILIA VALERIA</t>
  </si>
  <si>
    <t>CHIPANA CHOQUE HILARIO</t>
  </si>
  <si>
    <t>V6Q-447</t>
  </si>
  <si>
    <t>CHAVEZ ASPILCUETA YVAN</t>
  </si>
  <si>
    <t>V7I-372</t>
  </si>
  <si>
    <t>VALENCIA DE LAIME CONSUELO YOLANDA</t>
  </si>
  <si>
    <t>VALENCIA MEDINA DE BARRIGA EULALIA</t>
  </si>
  <si>
    <t>LAIME VALENCICA MARCO ANTONIO</t>
  </si>
  <si>
    <t>B3U-722</t>
  </si>
  <si>
    <t xml:space="preserve">ALVARES COAQUIRA CRISTIAN </t>
  </si>
  <si>
    <t>V7O-922</t>
  </si>
  <si>
    <t>ESTEBA JANAMPA RENE CESAR</t>
  </si>
  <si>
    <t>V6Y-081</t>
  </si>
  <si>
    <t>VELARDE CASTRO MICHELLE AGHELLA</t>
  </si>
  <si>
    <t>V5Q-177</t>
  </si>
  <si>
    <t>ARIAS CONTRERAS IRENE INES</t>
  </si>
  <si>
    <t>A9R-569</t>
  </si>
  <si>
    <t>QUISPE USCAMAYTA RICARDO</t>
  </si>
  <si>
    <t>B1Z-451</t>
  </si>
  <si>
    <t>CARDENAS SALAZAR LUIS FERNANDO</t>
  </si>
  <si>
    <t>CONDE GALLEGOS LISSETTE</t>
  </si>
  <si>
    <t>ZAPANA CONDE KIARENI</t>
  </si>
  <si>
    <t>GALLEGOS ZAPANA HONORATA</t>
  </si>
  <si>
    <t>B9J-130</t>
  </si>
  <si>
    <t>CARPIO CARPIO GUSTAVO</t>
  </si>
  <si>
    <t>HUAMANI YAURI ANALI</t>
  </si>
  <si>
    <t>TORRES CHALCO JOAN MILTON</t>
  </si>
  <si>
    <t>QUISPE DIAZ COSME</t>
  </si>
  <si>
    <t>VALENCIA CHAVEZ DENIS OMAR</t>
  </si>
  <si>
    <t>DORREGARAY DUEÑAS MARTIN</t>
  </si>
  <si>
    <t>V4R-670</t>
  </si>
  <si>
    <t>GONZA ROJAS ANGELICA</t>
  </si>
  <si>
    <t>A0V-222</t>
  </si>
  <si>
    <t>MENDOZA MONTUFAR ALEJANDRO</t>
  </si>
  <si>
    <t>V5N-348</t>
  </si>
  <si>
    <t>JACOBO HUAMANI FELICIANA</t>
  </si>
  <si>
    <t>A7I-731</t>
  </si>
  <si>
    <t>RAMIREZ NINA ANA LUISA</t>
  </si>
  <si>
    <t>D1R-795</t>
  </si>
  <si>
    <t>TINTA DELGADO YOBANA</t>
  </si>
  <si>
    <t>V5P-395</t>
  </si>
  <si>
    <t>CHINO HUACASI DIEGO</t>
  </si>
  <si>
    <t>V1C-796</t>
  </si>
  <si>
    <t>B5C-379</t>
  </si>
  <si>
    <t>Z1L-763</t>
  </si>
  <si>
    <t>M1S-041</t>
  </si>
  <si>
    <t>V3X-408</t>
  </si>
  <si>
    <t>2134OA</t>
  </si>
  <si>
    <t>V1T-963</t>
  </si>
  <si>
    <t>A0C-774</t>
  </si>
  <si>
    <t>V7N-955</t>
  </si>
  <si>
    <t>D1C-233</t>
  </si>
  <si>
    <t>9469-BM</t>
  </si>
  <si>
    <t>V5X-383</t>
  </si>
  <si>
    <t>V4J-253</t>
  </si>
  <si>
    <t>V7V-873</t>
  </si>
  <si>
    <t>C9A-231</t>
  </si>
  <si>
    <t>V6E-018</t>
  </si>
  <si>
    <t>V4Y-396</t>
  </si>
  <si>
    <t>V4L-333</t>
  </si>
  <si>
    <t>V6W-534</t>
  </si>
  <si>
    <t>V1V-637</t>
  </si>
  <si>
    <t>V7B004</t>
  </si>
  <si>
    <t>V3H-684</t>
  </si>
  <si>
    <t>V2W-663</t>
  </si>
  <si>
    <t>C4P-390</t>
  </si>
  <si>
    <t>F3C-753</t>
  </si>
  <si>
    <t>V1X-014</t>
  </si>
  <si>
    <t>D5X-464</t>
  </si>
  <si>
    <t>V5C-454</t>
  </si>
  <si>
    <t>Z2F-542</t>
  </si>
  <si>
    <t>V2Z-626</t>
  </si>
  <si>
    <t>V1N-700</t>
  </si>
  <si>
    <t>V4C-689</t>
  </si>
  <si>
    <t>V4L-235</t>
  </si>
  <si>
    <t>V1I-674</t>
  </si>
  <si>
    <t>V1F-563</t>
  </si>
  <si>
    <t>V4W-285</t>
  </si>
  <si>
    <t>V2X-720</t>
  </si>
  <si>
    <t>V4U-471</t>
  </si>
  <si>
    <t>V4R-090</t>
  </si>
  <si>
    <t>V5G-719</t>
  </si>
  <si>
    <t>V6T-751</t>
  </si>
  <si>
    <t>F8G-662</t>
  </si>
  <si>
    <t xml:space="preserve">YANA DE CONDORI BASILIA </t>
  </si>
  <si>
    <t>PARI MAMANI ALEXANDER</t>
  </si>
  <si>
    <t>TEJADA MEZA JACKELINE YNES</t>
  </si>
  <si>
    <t>CHULLO CARLOS EVELINA</t>
  </si>
  <si>
    <t>FLORES BERRIOS MARLENY</t>
  </si>
  <si>
    <t>HUANCA GARCIA CHRISTIAN</t>
  </si>
  <si>
    <t>GOMEZ GARCIA KAREN</t>
  </si>
  <si>
    <t>HUARAYA MAMANI REYNA</t>
  </si>
  <si>
    <t>CHINO HUARAYA DORIS</t>
  </si>
  <si>
    <t>CHINO HUARAYA DAMARIS</t>
  </si>
  <si>
    <t>MAMANI HUARAYA NURI</t>
  </si>
  <si>
    <t>CRUZ CHURA JUAN CARLOS</t>
  </si>
  <si>
    <t>DIAZ ESCARCENA SILVESTRE</t>
  </si>
  <si>
    <t>ÑAUPA VIZCARDO JHON</t>
  </si>
  <si>
    <t>CHOQUE CALISAYA JUAN</t>
  </si>
  <si>
    <t>CHOQUE MOLLO VERONICA</t>
  </si>
  <si>
    <t>PAZ VILCA, MATIAS SEBASTIAN</t>
  </si>
  <si>
    <t>SOTO ASTACIE LUISA</t>
  </si>
  <si>
    <t>HUARACA CONDORI MARLENI</t>
  </si>
  <si>
    <t xml:space="preserve">QUISPE CUTIRI RUTH DELFINA </t>
  </si>
  <si>
    <t>QUINTASE CONDORI PRESENTACION</t>
  </si>
  <si>
    <t>MAMANI MAMANI ELMER</t>
  </si>
  <si>
    <t>ALVARES CACERES KELIN</t>
  </si>
  <si>
    <t>APAZA ARACA EDWIN EDISON</t>
  </si>
  <si>
    <t>CRUZ GALLARDO EVA</t>
  </si>
  <si>
    <t>HALANOCA MAMANI OCTAVIO</t>
  </si>
  <si>
    <t>MANSILLA PONCE SHIRLEY</t>
  </si>
  <si>
    <t>ARMEJO SOTO CASILDA</t>
  </si>
  <si>
    <t>YANQUI MANRIQUE MAURICIO</t>
  </si>
  <si>
    <t>FLORES BERNEDO GUILLERMO TOMAS</t>
  </si>
  <si>
    <t>OBLITAS MIRANDA OTILIA</t>
  </si>
  <si>
    <t>COAQUIRA GARCIA REYNALDO</t>
  </si>
  <si>
    <t>CAMINO HOLANDA YENI INES</t>
  </si>
  <si>
    <t>GOMEZ ESPINOZA VALENTINA</t>
  </si>
  <si>
    <t>MAMANI ARIAS LUIS PEDRO</t>
  </si>
  <si>
    <t>ARIAS HUAMANI JACKELINE</t>
  </si>
  <si>
    <t>ARENAS MAMANI LUIS FABIANO</t>
  </si>
  <si>
    <t>MAMANI CARCAUSTO SONIA</t>
  </si>
  <si>
    <t>PEREZ ALFARO MARIA</t>
  </si>
  <si>
    <t>VARGAS MAMANI JOSE ALBERTO</t>
  </si>
  <si>
    <t>AGRAMONTE GARCIA ANGELO JEAN PIER</t>
  </si>
  <si>
    <t>GALLEGOS APAZA VERONICA FABIOLA</t>
  </si>
  <si>
    <t>QUISPE QUISPE YERETH EMMANUEL</t>
  </si>
  <si>
    <t>PONCE HUANCO ALBINA NOELIA</t>
  </si>
  <si>
    <t>SANTILLANA ESCOBEDO DANIELA</t>
  </si>
  <si>
    <t>LOPEZ SANTILLANA FIORELLA</t>
  </si>
  <si>
    <t>MAMANI APAZA JULIA</t>
  </si>
  <si>
    <t>MONTAÑEZ INGA YENI</t>
  </si>
  <si>
    <t>QUISPE CHAMPI JACINTA</t>
  </si>
  <si>
    <t>CONDORI LUPA NESTOR</t>
  </si>
  <si>
    <t>CASTRO QUISPE SEBASTIAN EDGAR</t>
  </si>
  <si>
    <t>CALLA SUCASACA JULIAN</t>
  </si>
  <si>
    <t>MAMANI CAMA MARIA ISABEL</t>
  </si>
  <si>
    <t>BARAZORDA QUISPE ANDY ELVIS</t>
  </si>
  <si>
    <t>CARPIO VALLADARES SILVIA</t>
  </si>
  <si>
    <t>HURTADO CORNEJO LADY LAURA</t>
  </si>
  <si>
    <t>HURTADO CORNEJO ALEXIA</t>
  </si>
  <si>
    <t>TORRES ZEGARRA IGNACIO</t>
  </si>
  <si>
    <t>CHOQUE MAMANI EPEFANEA</t>
  </si>
  <si>
    <t>PACORI PACHECO LUZ MARINA ASUNCION</t>
  </si>
  <si>
    <t>CARRIZALES MACHACA DIEGO ARMANDO</t>
  </si>
  <si>
    <t>V2T-654</t>
  </si>
  <si>
    <t>V3G-275</t>
  </si>
  <si>
    <t>V6Y-319</t>
  </si>
  <si>
    <t>F3K-575</t>
  </si>
  <si>
    <t>V2A-736</t>
  </si>
  <si>
    <t>V3Q-395</t>
  </si>
  <si>
    <t>V5E-628</t>
  </si>
  <si>
    <t>V5M-643</t>
  </si>
  <si>
    <t>V4L-542</t>
  </si>
  <si>
    <t>AHA-006</t>
  </si>
  <si>
    <t>V6J-287</t>
  </si>
  <si>
    <t>V4K-263</t>
  </si>
  <si>
    <t>F9P-669</t>
  </si>
  <si>
    <t>V2S-698</t>
  </si>
  <si>
    <t>V1W-370</t>
  </si>
  <si>
    <t>TORRES AGUIRRE SARA MARINA</t>
  </si>
  <si>
    <t>ZAPANA RAMOS OLIVIA</t>
  </si>
  <si>
    <t>FERNANDEZ CABALLERO DARIO</t>
  </si>
  <si>
    <t>CONDORI MAYTA JOSE LUIS</t>
  </si>
  <si>
    <t>ZAMORA HUACASI MADZUMI</t>
  </si>
  <si>
    <t>FLORES INFANTE MARTHA</t>
  </si>
  <si>
    <t>ARRISUEÑO VILCAPE MAYDA</t>
  </si>
  <si>
    <t>ARRATEA DURAN JANTEH</t>
  </si>
  <si>
    <t>ALCAHUAMANI USCAMAYTA ALEJANDRO</t>
  </si>
  <si>
    <t>JURADO VILLAFUERTE DALLANA</t>
  </si>
  <si>
    <t>LLAMOSAS BUENO SILVAI ISABEL</t>
  </si>
  <si>
    <t>CALCINA MERMA DE FLORES MARIA ISABEL</t>
  </si>
  <si>
    <t>QUISPE MAMANI MANUEL</t>
  </si>
  <si>
    <t>PORTUGAL CAÑARI VALERIA</t>
  </si>
  <si>
    <t>VARGAS CHURA JHOSIAS</t>
  </si>
  <si>
    <t>VIRRUETA REVILLA ZOILA ANGELICA</t>
  </si>
  <si>
    <t>CHURA VIRRUETA ZENAIDA MONICA</t>
  </si>
  <si>
    <t>CHURA VIRRUETA KATHERINE</t>
  </si>
  <si>
    <t>FERNANDEZ APAZA MARCELO</t>
  </si>
  <si>
    <t>PEREZ ZEGARRA JOSE ALEXANDER</t>
  </si>
  <si>
    <t>BARREDA BALLESTEROS ANTHONY CHRISTIAN</t>
  </si>
  <si>
    <t>VILLAJUAN VALDIVIA VIOLETA</t>
  </si>
  <si>
    <t>GONZALES AGUILAR CEFERINO</t>
  </si>
  <si>
    <t>TORRES DELGADO ALBERT</t>
  </si>
  <si>
    <t>CCAHUA CONDORI HUGO</t>
  </si>
  <si>
    <t>NINA ZUÑIGA, VERONICA</t>
  </si>
  <si>
    <t>V5X-216</t>
  </si>
  <si>
    <t>B3S-146</t>
  </si>
  <si>
    <t>V3B-225</t>
  </si>
  <si>
    <t>A9J-337</t>
  </si>
  <si>
    <t>V5M-504</t>
  </si>
  <si>
    <t>V5V-518</t>
  </si>
  <si>
    <t>V5M-841</t>
  </si>
  <si>
    <t>V2S-095</t>
  </si>
  <si>
    <t>V4I-122</t>
  </si>
  <si>
    <t>V3N-545</t>
  </si>
  <si>
    <t>V4G-196</t>
  </si>
  <si>
    <t>V1S-589</t>
  </si>
  <si>
    <t>V6Z-244</t>
  </si>
  <si>
    <t>V6T-389</t>
  </si>
  <si>
    <t>V1I-706</t>
  </si>
  <si>
    <t>V3H-529</t>
  </si>
  <si>
    <t>X2W-822</t>
  </si>
  <si>
    <t>F2Y-126</t>
  </si>
  <si>
    <t>V3T-073</t>
  </si>
  <si>
    <t>AAO-072</t>
  </si>
  <si>
    <t>V5N-364</t>
  </si>
  <si>
    <t>W1G-773</t>
  </si>
  <si>
    <t>V7C-088</t>
  </si>
  <si>
    <t>V5U-083</t>
  </si>
  <si>
    <t>AGUILAR CARDENAS ELISA MARIA</t>
  </si>
  <si>
    <t>RUBIO MEDINA RONNY RAMON</t>
  </si>
  <si>
    <t>RUBIO AGUILAR SANTIAGO NICOLAS</t>
  </si>
  <si>
    <t>CALDERON CUADROS DELMA</t>
  </si>
  <si>
    <t>MAMANI SENCA WILLIAM</t>
  </si>
  <si>
    <t>HACHA CONDORI JONATHAN MATIAS</t>
  </si>
  <si>
    <t>BARVERENA VIRRUETA RODOLFO SERAFIN</t>
  </si>
  <si>
    <t>CARLOS QUISPE SHEYLA ABIGAIL</t>
  </si>
  <si>
    <t>ZEBALLOS ZEBALLOS JHON</t>
  </si>
  <si>
    <t>VELASQUEZ CHARPA MARIA MILAGROS</t>
  </si>
  <si>
    <t>LOPEZ VELASQUEZ FRANCO GABRIEL</t>
  </si>
  <si>
    <t>VIZCARRA AVILA GILMER JOSE</t>
  </si>
  <si>
    <t>HUAYAPA DE SANTA CRUZ RUFINA</t>
  </si>
  <si>
    <t>MAMANI LAYME LUIS MIGUEL</t>
  </si>
  <si>
    <t>DIAZ CAYO ELEIECER RAUL</t>
  </si>
  <si>
    <t>MAMANI CHAMBI HENRY</t>
  </si>
  <si>
    <t>VIRRUETA PEÑA DIEGO LEONARDO</t>
  </si>
  <si>
    <t>CARLOS QUISPE SHEYLA</t>
  </si>
  <si>
    <t>PUMA MAMANI MARTIN</t>
  </si>
  <si>
    <t>ZAPANA TICONA JESSICA</t>
  </si>
  <si>
    <t>QUEQUEZANA VIZCARRA MARIA BELEN</t>
  </si>
  <si>
    <t>QUEQUEZANA VIZCARRA JUAN ESTEBAN</t>
  </si>
  <si>
    <t>QUEQUEZANA VIZCARRA DANIELA JIMENA</t>
  </si>
  <si>
    <t>AROHUANCA INQUILLA CONSTANTINA</t>
  </si>
  <si>
    <t>MAMANI CONDORI KARINA MARI LUZ</t>
  </si>
  <si>
    <t>URDANIVIA LLERENA NILDA</t>
  </si>
  <si>
    <t>UMAÑA FLORES LEOCADIO</t>
  </si>
  <si>
    <t>HUISA QUISPE MARIA</t>
  </si>
  <si>
    <t>GUERREROS CANALES PEDRO JUAN</t>
  </si>
  <si>
    <t>LIMA MAMANI ELVIS MICHAEL</t>
  </si>
  <si>
    <t>CRUZ TICLLAHUANACO WILLY JHON</t>
  </si>
  <si>
    <t>160-B</t>
  </si>
  <si>
    <t>V3D-327</t>
  </si>
  <si>
    <t>V2T-650</t>
  </si>
  <si>
    <t>V4K-217</t>
  </si>
  <si>
    <t>V4Y-068</t>
  </si>
  <si>
    <t>V3M-116</t>
  </si>
  <si>
    <t>V7O-698</t>
  </si>
  <si>
    <t>V5E-228</t>
  </si>
  <si>
    <t>V6M-423</t>
  </si>
  <si>
    <t>V4H-432</t>
  </si>
  <si>
    <t>V1T-504</t>
  </si>
  <si>
    <t>69781V</t>
  </si>
  <si>
    <t>X3X-040</t>
  </si>
  <si>
    <t>V5U-413</t>
  </si>
  <si>
    <t>V1X-702</t>
  </si>
  <si>
    <t>V5Z-292</t>
  </si>
  <si>
    <t>V6F-397</t>
  </si>
  <si>
    <t>V5C-138</t>
  </si>
  <si>
    <t>V2Y-279</t>
  </si>
  <si>
    <t>V1J-718</t>
  </si>
  <si>
    <t>V5H-639</t>
  </si>
  <si>
    <t>A8X-737</t>
  </si>
  <si>
    <t>V3E-134</t>
  </si>
  <si>
    <t>V2P-676</t>
  </si>
  <si>
    <t>V9Z-956</t>
  </si>
  <si>
    <t>V4T-552</t>
  </si>
  <si>
    <t>V5F-561</t>
  </si>
  <si>
    <t>V3B-053</t>
  </si>
  <si>
    <t>V8E-801</t>
  </si>
  <si>
    <t>V3F-367</t>
  </si>
  <si>
    <t>V3A-654</t>
  </si>
  <si>
    <t>6978-1V</t>
  </si>
  <si>
    <t>V1U-191</t>
  </si>
  <si>
    <t>X2N-424</t>
  </si>
  <si>
    <t>V7S-899</t>
  </si>
  <si>
    <t>V2V-608</t>
  </si>
  <si>
    <t>V1X-112</t>
  </si>
  <si>
    <t>V6W-595</t>
  </si>
  <si>
    <t>V3V-448</t>
  </si>
  <si>
    <t>A4P-020</t>
  </si>
  <si>
    <t>V4Z-148</t>
  </si>
  <si>
    <t>CHAHUARA PARARI ROSA</t>
  </si>
  <si>
    <t>HUICHE CONDORI ALBERTO JOSE</t>
  </si>
  <si>
    <t>GARCIA CASANOVA FELIX</t>
  </si>
  <si>
    <t>SUPO CHECA JUAN CARLOS</t>
  </si>
  <si>
    <t>ALE PEREZ ERNESTO</t>
  </si>
  <si>
    <t>ALVAREZ GARAYAR CONSTANCE</t>
  </si>
  <si>
    <t>BERNEDO ZAPANA URSULA</t>
  </si>
  <si>
    <t>UTURUNCO VICENTE MORFI</t>
  </si>
  <si>
    <t>FLORES VALENCIA ANTONIA</t>
  </si>
  <si>
    <t>UTURUNCO FLORES SELENA</t>
  </si>
  <si>
    <t>QUISPE VELASQUEZ VALENTINA</t>
  </si>
  <si>
    <t>VELASQUEZ POCOHUANCA FLOR DE MARIA</t>
  </si>
  <si>
    <t>QUISPE VELASQUEZ ASHLEY</t>
  </si>
  <si>
    <t>MONTES URDAY FORTUNATA</t>
  </si>
  <si>
    <t>GONZALES PAREDES ESTEFANO</t>
  </si>
  <si>
    <t>LAZARINO APAZA LUDWING</t>
  </si>
  <si>
    <t>BUSTAMANTE TAYPE BRAYAN VITO</t>
  </si>
  <si>
    <t>CARRILLO ALFEREZ PIERO</t>
  </si>
  <si>
    <t>CARRILLO ALFEREZ JOAQUIN</t>
  </si>
  <si>
    <t>ALFEREZ CONDORI FRIDA</t>
  </si>
  <si>
    <t>QUISPE CRUZ JAQUELINE</t>
  </si>
  <si>
    <t>CONCHA QUISPE VIOLETA</t>
  </si>
  <si>
    <t>VILCA TALANCHA MARCO ANTONIO</t>
  </si>
  <si>
    <t>COLQUE RIVERA LORELEI</t>
  </si>
  <si>
    <t>SALAS SARMIENTO ALISON</t>
  </si>
  <si>
    <t>GUILLEN PINTO GASPAR</t>
  </si>
  <si>
    <t>QUISPE CUTIPA ROXANA</t>
  </si>
  <si>
    <t>CALCINA QUISPE KIARA</t>
  </si>
  <si>
    <t>CALCINA QUISPE DAMARIS</t>
  </si>
  <si>
    <t>URLICH GUTIERREZ SIXTO</t>
  </si>
  <si>
    <t>CHIRINOS NEYRA EDERSON</t>
  </si>
  <si>
    <t>OSORIO IBAÑEZ JAIME TOMAS</t>
  </si>
  <si>
    <t>YANQUI MILLONI ZORAIDA MARIA</t>
  </si>
  <si>
    <t>CESPEDES MESIAS SEBASTIAN RAUL</t>
  </si>
  <si>
    <t>CANO YYY JOSEPH</t>
  </si>
  <si>
    <t>QUISPE MAMANI LEONCIO SAUL</t>
  </si>
  <si>
    <t>MURGA DE LA CRUZ YOVANA</t>
  </si>
  <si>
    <t>HUMALLA MURGA MARIEL</t>
  </si>
  <si>
    <t>GONZALES QUISPE MAYCOLL</t>
  </si>
  <si>
    <t>BACA LETONA NELLY</t>
  </si>
  <si>
    <t>ANCO YANARICO BHARYNIA ROSSMERY</t>
  </si>
  <si>
    <t>FERNANDEZ JUAREZ PAMELA</t>
  </si>
  <si>
    <t>ABARCA SALAS MARIA ELENA</t>
  </si>
  <si>
    <t>GUTIERREZ PACARA JUANA</t>
  </si>
  <si>
    <t>COA MAMANI PETRONA</t>
  </si>
  <si>
    <t>LOPEZ SONCO MAXIMO NOLBERTO</t>
  </si>
  <si>
    <t>FLORES DUEÑAS GERSON RODRIGO</t>
  </si>
  <si>
    <t>TAMO CORNEJO YESENIA ISAMAR</t>
  </si>
  <si>
    <t>CORNEJO CCANA MAYELI</t>
  </si>
  <si>
    <t>CAIRA CASTILLO DANITSA</t>
  </si>
  <si>
    <t>GOMEZ FERNANDEZ ISRAEL</t>
  </si>
  <si>
    <t>PAREDES TERRAZAS SHEYLA</t>
  </si>
  <si>
    <t>HUAMANI SINGUÑA SARA ROXANA</t>
  </si>
  <si>
    <t>ORDOÑEZ ARISMENDY JENI</t>
  </si>
  <si>
    <t>ORDOÑEZ ARISMENDY ALEJANDRINA PIEDAD</t>
  </si>
  <si>
    <t>APAZA VILCHEZ JABOL</t>
  </si>
  <si>
    <t>HUMPIRE DE QUISPE FILOMENA</t>
  </si>
  <si>
    <t>CUBA LAMFRANCO ROCIO</t>
  </si>
  <si>
    <t>RAMIREZ ALVAREZ ANGELICA PATRICIA</t>
  </si>
  <si>
    <t>PIZARRO DELGADO JUAN ALONSO</t>
  </si>
  <si>
    <t>CARDENAS DIAZ VICTOR PEDRO</t>
  </si>
  <si>
    <t>VALDIVIA BARRIOS KELLY GRACE</t>
  </si>
  <si>
    <t>BARRIOS NEIRA MARIA JACQUIELINE</t>
  </si>
  <si>
    <t>GONZALES CASANI ADOLFO</t>
  </si>
  <si>
    <t>FLORES CASANI NATIVIDAD</t>
  </si>
  <si>
    <t>MACHACA ARO JUAN AGUSTO</t>
  </si>
  <si>
    <t>CANDIA CAHUALLA CARLOS</t>
  </si>
  <si>
    <t>PARICAHUA MACHACA DAMIAN</t>
  </si>
  <si>
    <t>CACHI CHOQUE MERCEDES</t>
  </si>
  <si>
    <t>FLORES BARRIOS JULIA</t>
  </si>
  <si>
    <t>MAJES-AREQUIPA</t>
  </si>
  <si>
    <t>MAMANI ZARATE MARGARITA LIZ</t>
  </si>
  <si>
    <t>V3C-271</t>
  </si>
  <si>
    <t>V1D-131</t>
  </si>
  <si>
    <t>V4F-404</t>
  </si>
  <si>
    <t>V4I-267</t>
  </si>
  <si>
    <t>V5Y-666</t>
  </si>
  <si>
    <t>V1Q-526</t>
  </si>
  <si>
    <t>4837-OB</t>
  </si>
  <si>
    <t>V2W-444</t>
  </si>
  <si>
    <t>V2N-649</t>
  </si>
  <si>
    <t>Z2C-273</t>
  </si>
  <si>
    <t>V4M-124</t>
  </si>
  <si>
    <t>B9N-741</t>
  </si>
  <si>
    <t>V5Z-673</t>
  </si>
  <si>
    <t>V6U-245</t>
  </si>
  <si>
    <t>C0Y-521</t>
  </si>
  <si>
    <t>A4L-754</t>
  </si>
  <si>
    <t>V4X-388</t>
  </si>
  <si>
    <t>V6J-229</t>
  </si>
  <si>
    <t>A3E-733</t>
  </si>
  <si>
    <t>SU-2281</t>
  </si>
  <si>
    <t>5965-3C</t>
  </si>
  <si>
    <t>V1-7096</t>
  </si>
  <si>
    <t>C2-3051</t>
  </si>
  <si>
    <t>V4R-709</t>
  </si>
  <si>
    <t>V3Q-417</t>
  </si>
  <si>
    <t>B3X-410</t>
  </si>
  <si>
    <t>V6N-172</t>
  </si>
  <si>
    <t>V4Q-274</t>
  </si>
  <si>
    <t>V2X-282</t>
  </si>
  <si>
    <t>V6K-283</t>
  </si>
  <si>
    <t>V6A-676</t>
  </si>
  <si>
    <t>V5U-330</t>
  </si>
  <si>
    <t>V6F-289</t>
  </si>
  <si>
    <t>V6V-261</t>
  </si>
  <si>
    <t>F6H-052</t>
  </si>
  <si>
    <t>V6B-537</t>
  </si>
  <si>
    <t>V5J-058</t>
  </si>
  <si>
    <t>V3D-388</t>
  </si>
  <si>
    <t>V2X-066</t>
  </si>
  <si>
    <t>V3H-053</t>
  </si>
  <si>
    <t>C6W-017</t>
  </si>
  <si>
    <t>V5M-569</t>
  </si>
  <si>
    <t>V3R-009</t>
  </si>
  <si>
    <t>BELIZARIO BELIZARIO CARMEN</t>
  </si>
  <si>
    <t>SANCHEZ CARCASI NESTOR AMADO</t>
  </si>
  <si>
    <t>VELASQUEZ GUILLEN VICENTINA JANET</t>
  </si>
  <si>
    <t>GIL HANCCO YOSELYN</t>
  </si>
  <si>
    <t xml:space="preserve">CANA PRADO CAMILA </t>
  </si>
  <si>
    <t>NIEBLE HUANCA EDUARDO</t>
  </si>
  <si>
    <t>MALLMA CAHUANA EUSTACIO</t>
  </si>
  <si>
    <t>MALLMA PARISACA RUTH</t>
  </si>
  <si>
    <t>ZAVALETA CASTRO EDUARDO</t>
  </si>
  <si>
    <t>SAAVEDRA CHALCO DIEGO WALTER</t>
  </si>
  <si>
    <t>SAAVEDRA CHALCO KELLY DANIELA</t>
  </si>
  <si>
    <t>CORTEZ ARROYO ROBERTO ALONSO</t>
  </si>
  <si>
    <t>APAZA AVILA MARIO FELIX</t>
  </si>
  <si>
    <t>GARAY CRUZ JOSE LUIS</t>
  </si>
  <si>
    <t>LIZARRAGA FLORES TIFANY BERTHA</t>
  </si>
  <si>
    <t>HUAMAN CRUZ MERCEDES</t>
  </si>
  <si>
    <t>HUAMAN CRUZ JOSE MIGUEL</t>
  </si>
  <si>
    <t>HUANCA CHOQUE ESTEBAN JESUS</t>
  </si>
  <si>
    <t>GALLEGOS ROJAS CARLA ESTEANI</t>
  </si>
  <si>
    <t>CONDORI ROMAN ASTRID SALOME</t>
  </si>
  <si>
    <t>VALENCIA FERNANDEZ MIRELLA</t>
  </si>
  <si>
    <t>CHAMBI CALLA CARLOS EDUARDO</t>
  </si>
  <si>
    <t>APAZA HUMALLA ARIANA ANTHONELLA</t>
  </si>
  <si>
    <t>HUMALLA TURPO YUDI ROXANA</t>
  </si>
  <si>
    <t>PACO DE FUENTES ESCOLASTICA</t>
  </si>
  <si>
    <t>ALBORDOZ DOMINGUEZ BERTHA</t>
  </si>
  <si>
    <t>FUENTES HUAYTA GENOVEVA</t>
  </si>
  <si>
    <t>MERMA COATA GRACE</t>
  </si>
  <si>
    <t>ROSAS HUAMANI BERNABE</t>
  </si>
  <si>
    <t>HUAMANI BECERRA TIAGO</t>
  </si>
  <si>
    <t>BECERRA CHOQUE ROSA MARIA</t>
  </si>
  <si>
    <t>PINTO LLERENA JULIA</t>
  </si>
  <si>
    <t>CHALLANCA LIMA GILBERTO</t>
  </si>
  <si>
    <t>BAUTISTA ALEGRIA EDISON</t>
  </si>
  <si>
    <t>RIERA ZEBALLOS GEAN CARLO</t>
  </si>
  <si>
    <t>OSORIO HUACHACA CELIA</t>
  </si>
  <si>
    <t>CHICAÑA VALVERDE EDWIN ADRIAN</t>
  </si>
  <si>
    <t>GUTIERREZ ZAPATA ROSA ELENA</t>
  </si>
  <si>
    <t>RODRIGUEZ GUTIERREZ ARAZELY</t>
  </si>
  <si>
    <t>RODRIGUEZ GUTIERREZ ARLETH</t>
  </si>
  <si>
    <t>PAREDES HUANCA ROSARIO DEL CARMEN</t>
  </si>
  <si>
    <t>HUAYLLAPUMA DURAND EDGAR FRANKLIN</t>
  </si>
  <si>
    <t>VELAZCO RENDON JULIA</t>
  </si>
  <si>
    <t>CHINO ROSELLON LEONOR MARLENY</t>
  </si>
  <si>
    <t>MIRANO COAQUIRA RINA DORA</t>
  </si>
  <si>
    <t>HANCCO PUMA MARCELINA</t>
  </si>
  <si>
    <t>CHOQUE DE CIFUENTES ALICIA</t>
  </si>
  <si>
    <t>AROQUIPA RODRIGUEZ ERICK</t>
  </si>
  <si>
    <t>CASTILLO COLANA FLORANGEL LUZ</t>
  </si>
  <si>
    <t>VALENCIA MAMANI MIRIAM</t>
  </si>
  <si>
    <t>ZAPANA JIMENEZ MARIA FERNANDA</t>
  </si>
  <si>
    <t>SALHUA CHARCAHUANA VERONICA</t>
  </si>
  <si>
    <t>HERNANDEZ SALHUA JOSE GABRIEL</t>
  </si>
  <si>
    <t>GUTIERREZ GUZMAN WUINIR</t>
  </si>
  <si>
    <t>REMACHE QUISPE DEYSI</t>
  </si>
  <si>
    <t>COTILDO CORNEJO ELIZABETH</t>
  </si>
  <si>
    <t>VILLANUEVA RAMOS JUAN CARLOS</t>
  </si>
  <si>
    <t>ARREDONDO CABALLERO CRISLEY</t>
  </si>
  <si>
    <t>ZAMATA MAMANI RONALD</t>
  </si>
  <si>
    <t>QUISPE PUMA AMELIA</t>
  </si>
  <si>
    <t>MAMANI CHATA BLAIR BRANDI</t>
  </si>
  <si>
    <t>FLORES MEDINA DAVID</t>
  </si>
  <si>
    <t>CHAVEZ FLORES MIGUEL ANGEL</t>
  </si>
  <si>
    <t>ALEJO PARI ROGELIO</t>
  </si>
  <si>
    <t>HUAHUASONCO PAREJA IKER CAMILO</t>
  </si>
  <si>
    <t>LINARES PUMA MARTIN</t>
  </si>
  <si>
    <t>QUISPE SUCARI JOSE MANUEL</t>
  </si>
  <si>
    <t>V3B-482</t>
  </si>
  <si>
    <t>V8N-815</t>
  </si>
  <si>
    <t>A2Z-703</t>
  </si>
  <si>
    <t>V2I-631</t>
  </si>
  <si>
    <t>V1C-439</t>
  </si>
  <si>
    <t>2407-7M</t>
  </si>
  <si>
    <t>V3L-672</t>
  </si>
  <si>
    <t>V2W-157</t>
  </si>
  <si>
    <t>V6L-319</t>
  </si>
  <si>
    <t>V7E-842</t>
  </si>
  <si>
    <t>V7S-020</t>
  </si>
  <si>
    <t>V2C-365</t>
  </si>
  <si>
    <t>V5K-662</t>
  </si>
  <si>
    <t>V7A-333</t>
  </si>
  <si>
    <t>V3J-222</t>
  </si>
  <si>
    <t>V2A-615</t>
  </si>
  <si>
    <t>V2Z-697</t>
  </si>
  <si>
    <t>V3I-348</t>
  </si>
  <si>
    <t>AQP-638</t>
  </si>
  <si>
    <t>V6W-230</t>
  </si>
  <si>
    <t>V1R-543</t>
  </si>
  <si>
    <t>V1T-219</t>
  </si>
  <si>
    <t>V3K-471</t>
  </si>
  <si>
    <t>V6R-101</t>
  </si>
  <si>
    <t>0991-CM</t>
  </si>
  <si>
    <t>HUAMAN APAZA JOSE PEDRO</t>
  </si>
  <si>
    <t>CANCHO ROJAS IGNACIA DE LOYOLA</t>
  </si>
  <si>
    <t>MANUEL MERMA MASCIEL</t>
  </si>
  <si>
    <t>VALDIVIA MONTES CARMEN</t>
  </si>
  <si>
    <t>HURTADO LEVANO CELIA MELINA</t>
  </si>
  <si>
    <t>PILCO CARPIO ROBERT LORENZO</t>
  </si>
  <si>
    <t>VILCAHUAMAN GUEVARA MARIO ERNESTO</t>
  </si>
  <si>
    <t>HUACAN HUANCA DIEGO EFRAIN</t>
  </si>
  <si>
    <t>TICONA VDA DE VENEGAS NATALIA</t>
  </si>
  <si>
    <t>ARCAYA FLORES EDUARDO</t>
  </si>
  <si>
    <t>ARCAYA BEJARANO HUGO JESUS</t>
  </si>
  <si>
    <t>MARROQUIN MAMANI URSULA</t>
  </si>
  <si>
    <t>ROMAN LLICA JUAN</t>
  </si>
  <si>
    <t>ROMAN TORRES LUANA</t>
  </si>
  <si>
    <t>TORRES LINARES NADIA</t>
  </si>
  <si>
    <t>ROMAN TORRES SANTIAGO</t>
  </si>
  <si>
    <t>ALPACA GARCIA MARIA L</t>
  </si>
  <si>
    <t>GONZALES ALVAREZ LUDWING</t>
  </si>
  <si>
    <t>MEDINA CASTILLO BLANCA R.</t>
  </si>
  <si>
    <t>CORRALES HUAHUACONDO STEFANI</t>
  </si>
  <si>
    <t xml:space="preserve">GUTIERREZ MACEDO JUAN CARLOS </t>
  </si>
  <si>
    <t>RAMOS LAROTA EIDAN PAUL</t>
  </si>
  <si>
    <t>MOLINA APAZA EDWARD S.</t>
  </si>
  <si>
    <t>APAZA ACUÑA CIRILA CATALINA</t>
  </si>
  <si>
    <t>RAMOS NINASIVINCHA AYDEE</t>
  </si>
  <si>
    <t>ZARATE CHINO ELIECER</t>
  </si>
  <si>
    <t>QUISPE ZARATE BILL JACKSON</t>
  </si>
  <si>
    <t>ITUSACA BORDA CARMEN BETTY</t>
  </si>
  <si>
    <t>CONDORI ITUSACA JAIR LEO</t>
  </si>
  <si>
    <t>CONDORI ITUSACA JEREMI JHENCO</t>
  </si>
  <si>
    <t>CONDORI RODRIGUEZ LEONARDO BRUNO</t>
  </si>
  <si>
    <t>TERAN HUAHUACONDORI JUSTO</t>
  </si>
  <si>
    <t>PEREZ SALCEDO MARIA JESUS</t>
  </si>
  <si>
    <t>CUYO CUYO CIRIACO</t>
  </si>
  <si>
    <t>ARIVILCA CUTI LEONARDO VICTOR</t>
  </si>
  <si>
    <t>HIDALGO PACHECO CHIRLY</t>
  </si>
  <si>
    <t>ZEVALLOS ALCCA JOSE MARIA</t>
  </si>
  <si>
    <t>SUAREZ HUAMANI JOSE LUIS</t>
  </si>
  <si>
    <t>CALIZAYA PARI MARTIN</t>
  </si>
  <si>
    <t>QUISPE LOPEZ WILSON</t>
  </si>
  <si>
    <t>QUISPE LOPEZ WILAN</t>
  </si>
  <si>
    <t>FERNANDEZ MAMANI ANTONIO</t>
  </si>
  <si>
    <t>CONDO YUPANQUI BELTRAN</t>
  </si>
  <si>
    <t>PAUCARA MONTES JUAN FRANCISCO</t>
  </si>
  <si>
    <t>PACHARI JOVE JOSE LUIS</t>
  </si>
  <si>
    <t>C1V-674</t>
  </si>
  <si>
    <t>JUSTO MACHACA NINFA</t>
  </si>
  <si>
    <t>AAI-329</t>
  </si>
  <si>
    <t>V5I-100</t>
  </si>
  <si>
    <t>V3T-500</t>
  </si>
  <si>
    <t>Z1V-774</t>
  </si>
  <si>
    <t>V2M-170</t>
  </si>
  <si>
    <t>X1B-279</t>
  </si>
  <si>
    <t>A0N-364</t>
  </si>
  <si>
    <t>A5F-765</t>
  </si>
  <si>
    <t>V5N-284</t>
  </si>
  <si>
    <t>V7S-690</t>
  </si>
  <si>
    <t>V3Q-369</t>
  </si>
  <si>
    <t>V3D-025</t>
  </si>
  <si>
    <t>V4C-401</t>
  </si>
  <si>
    <t>F6E-500</t>
  </si>
  <si>
    <t>V5S-310</t>
  </si>
  <si>
    <t>V6L-360</t>
  </si>
  <si>
    <t>Y1I-460</t>
  </si>
  <si>
    <t>V2A-658</t>
  </si>
  <si>
    <t>V6I-139</t>
  </si>
  <si>
    <t>V5J-298</t>
  </si>
  <si>
    <t>V4R-026</t>
  </si>
  <si>
    <t>V7R-189</t>
  </si>
  <si>
    <t>V2R-102</t>
  </si>
  <si>
    <t>V7N-487</t>
  </si>
  <si>
    <t>X1M-634</t>
  </si>
  <si>
    <t>7352-2V</t>
  </si>
  <si>
    <t>V5O-547</t>
  </si>
  <si>
    <t>V7U-964</t>
  </si>
  <si>
    <t>MAMANI APAZA CHRISTINA</t>
  </si>
  <si>
    <t>F4M-186</t>
  </si>
  <si>
    <t>ORTEGA GARNICA RUTH</t>
  </si>
  <si>
    <t>V1F-727</t>
  </si>
  <si>
    <t xml:space="preserve">IPARRAGUIRRE ALVAREZ JORGE LUIS </t>
  </si>
  <si>
    <t>V5G-228</t>
  </si>
  <si>
    <t>TINTAYA CALLA ANGEL</t>
  </si>
  <si>
    <t>S1A-702</t>
  </si>
  <si>
    <t>OCHOA BOLAÑOS LAURENO</t>
  </si>
  <si>
    <t>V5V-416</t>
  </si>
  <si>
    <t>V2G-694</t>
  </si>
  <si>
    <t>GONZALES QUISPE CARLOS</t>
  </si>
  <si>
    <t>V4I-612</t>
  </si>
  <si>
    <t>ORDOÑEZ DIANDUAS DANIEL</t>
  </si>
  <si>
    <t>ALFARO HUASHUAYO MEDALID</t>
  </si>
  <si>
    <t>GUTIERREZ VUCETICH KAROL</t>
  </si>
  <si>
    <t>COLMENARES CHAVEZ ANDREA</t>
  </si>
  <si>
    <t>DIESRO CHAVEZ MONICA LUHANA</t>
  </si>
  <si>
    <t>ALA MESTAS MILAGROS</t>
  </si>
  <si>
    <t>ALA MESTAS ANALI MARISOL</t>
  </si>
  <si>
    <t>ALANOCA RAMOS ANA MARIA</t>
  </si>
  <si>
    <t>CHAVEZ CHAVEZ MARIA LUISA</t>
  </si>
  <si>
    <t>SILVA DELGADO DAVID</t>
  </si>
  <si>
    <t>YSUISA PEREZ MAYER ROLANDO</t>
  </si>
  <si>
    <t>VARGAS CHOQUE GRICELDA</t>
  </si>
  <si>
    <t>VERA QUISPE ANA MARIA</t>
  </si>
  <si>
    <t>MOROCHARA CHULLO WILBER</t>
  </si>
  <si>
    <t>MALASQUES MOLINA NELSON</t>
  </si>
  <si>
    <t>SIERRA PACHEWCO VALERY</t>
  </si>
  <si>
    <t>HUARACHA COAQUIRA MIGUEL</t>
  </si>
  <si>
    <t>CHIPANA PACHECO JORGE</t>
  </si>
  <si>
    <t>COAGUILA FLORES BERLY NELSON</t>
  </si>
  <si>
    <t>ROJAS COLLANA NELVA GREGORIA</t>
  </si>
  <si>
    <t>INGA ROJAS JULIO CESAR</t>
  </si>
  <si>
    <t>TORRES VILLANUEVA OSCAR LUIS</t>
  </si>
  <si>
    <t>VEGA CHICOMA HENRY</t>
  </si>
  <si>
    <t>VILLARUEL VELAZQUES  MARTIN HUMBERTO</t>
  </si>
  <si>
    <t>OBUSCO MANRIQUE RAFAELA</t>
  </si>
  <si>
    <t>MANRIQUE GOMEZ ANA MARIA</t>
  </si>
  <si>
    <t>CHOQUE BEGAZO MANUEL</t>
  </si>
  <si>
    <t>MANRIQUE GOMEZ KARLA</t>
  </si>
  <si>
    <t>APAZA APAZA CARMEN</t>
  </si>
  <si>
    <t>ESTRELLA SANCHEZ ENZO ANDRE</t>
  </si>
  <si>
    <t>SANCHEZ CASTRO CARMEN ROSA</t>
  </si>
  <si>
    <t>CHALCAHUANA CHUMA LILIANA</t>
  </si>
  <si>
    <t>HUARACHA CRUZ JAVIER</t>
  </si>
  <si>
    <t>VERA VEGA ALEMBERT</t>
  </si>
  <si>
    <t>VERA PACHECO MARIA ALEJANDRA</t>
  </si>
  <si>
    <t>FLORES HUARCA EDISON</t>
  </si>
  <si>
    <t>QUISPE GUTIERREZ JOSE</t>
  </si>
  <si>
    <t>SILVA MANCHEGO HILIA</t>
  </si>
  <si>
    <t>TORRES SILVA MARIO</t>
  </si>
  <si>
    <t>TORRES SILVA MANUEL</t>
  </si>
  <si>
    <t>LLAMOSAS SILVA LOURDES</t>
  </si>
  <si>
    <t>FLORES OQUENDO JORGE LUIS</t>
  </si>
  <si>
    <t>JARA VILLANUEVA ELIAS RODOLFO</t>
  </si>
  <si>
    <t>FLORES DE SAICO CARMEN</t>
  </si>
  <si>
    <t>QUISPE SIHUINTA ANDY WANG</t>
  </si>
  <si>
    <t>V4H-063</t>
  </si>
  <si>
    <t>FLORES MOLLEAPAZA RICARDO</t>
  </si>
  <si>
    <t>APAZA CHINO MARIBEL</t>
  </si>
  <si>
    <t>GOMEZ HUALLPA GABRIEL DAVID</t>
  </si>
  <si>
    <t>CAHUANA FLORES RICHARD ALEXANDER</t>
  </si>
  <si>
    <t>SAHUANANY ARRE ERIKA LORENA</t>
  </si>
  <si>
    <t>CANSAYA CASTELLANOS JUANA</t>
  </si>
  <si>
    <t>QUISPE CONDORI GUTIERREZ VICTORIA</t>
  </si>
  <si>
    <t>DEL PINO ORTEGA WILLIAN FULGENCIO</t>
  </si>
  <si>
    <t>ESQUIVEL ROSAS ALDO</t>
  </si>
  <si>
    <t>VASQUEZ TACO MARCELA</t>
  </si>
  <si>
    <t>ROMERO VALDIVIA MAYELIN</t>
  </si>
  <si>
    <t>MEDINA DIAZ EMILY</t>
  </si>
  <si>
    <t>MUÑOZ HUAMANI MAYDALIN</t>
  </si>
  <si>
    <t>SUPO MAMANI JHONATAN</t>
  </si>
  <si>
    <t>DETORMO POLAR LUCIA BELEN</t>
  </si>
  <si>
    <t>QUISPE LLAMOCA JUANA</t>
  </si>
  <si>
    <t>COAQUIRA SONCCO MARCO ANTONIO</t>
  </si>
  <si>
    <t>LOPEZ TACO GLADYS</t>
  </si>
  <si>
    <t>LOPEZ LOPEZ EDITH JOHANI</t>
  </si>
  <si>
    <t>CACERES LARICO THIAGO</t>
  </si>
  <si>
    <t>LARICO MEJIA MIRIAM</t>
  </si>
  <si>
    <t>SALAS SAAVEDRA JULISSA</t>
  </si>
  <si>
    <t>VELASQUEZ CHOQUE JOSELYN</t>
  </si>
  <si>
    <t>JACHO HANCCO CHRISTIAN</t>
  </si>
  <si>
    <t>ROJAS PANDIA JOSE LUIS</t>
  </si>
  <si>
    <t>FALCON MACHICAO BLANCA</t>
  </si>
  <si>
    <t>V6Q-001</t>
  </si>
  <si>
    <t>V3W-634</t>
  </si>
  <si>
    <t>V3R-044</t>
  </si>
  <si>
    <t>A7D-779</t>
  </si>
  <si>
    <t>V2L-695</t>
  </si>
  <si>
    <t>V5V-620</t>
  </si>
  <si>
    <t>V5Q-540</t>
  </si>
  <si>
    <t>V5A-215</t>
  </si>
  <si>
    <t>A0F-786</t>
  </si>
  <si>
    <t>V5V-256</t>
  </si>
  <si>
    <t>V5H-647</t>
  </si>
  <si>
    <t>V2S-692</t>
  </si>
  <si>
    <t>V2A-425</t>
  </si>
  <si>
    <t>V4H-102</t>
  </si>
  <si>
    <t>V1J-716</t>
  </si>
  <si>
    <t>A2W-796</t>
  </si>
  <si>
    <t>V5O-759</t>
  </si>
  <si>
    <t>V5U-033</t>
  </si>
  <si>
    <t>ARANGURI VELARDE CESAR ANDRES</t>
  </si>
  <si>
    <t>LARUTA QUEA CELENIA</t>
  </si>
  <si>
    <t>HANCCO ALANOCCA HAYDEE</t>
  </si>
  <si>
    <t>CORDOVA HERNANDEZ MARIA FERNANDA</t>
  </si>
  <si>
    <t>HUAMAN MORALES KEVIN RENEE</t>
  </si>
  <si>
    <t>V4X-062</t>
  </si>
  <si>
    <t>TOMAS CUBAS DIOGENES</t>
  </si>
  <si>
    <t>C9F-790</t>
  </si>
  <si>
    <t>V1J-701</t>
  </si>
  <si>
    <t>TERAN SOTO FATIMA</t>
  </si>
  <si>
    <t>MAMANI DE DIAZ LUZ MARINA</t>
  </si>
  <si>
    <t>V8Q-771</t>
  </si>
  <si>
    <t>V5S-484</t>
  </si>
  <si>
    <t>HUARACHI PALOMINO NEIDA DENIS</t>
  </si>
  <si>
    <t>ALCARRAZ ARUNI KAROL</t>
  </si>
  <si>
    <t>B6W-649</t>
  </si>
  <si>
    <t>V1H-714</t>
  </si>
  <si>
    <t>MARIÑO SALAZAR RENEE ALEJANDRO</t>
  </si>
  <si>
    <t>COSI SINCHE DALINA KAREN</t>
  </si>
  <si>
    <t>V5X-452</t>
  </si>
  <si>
    <t>Y5Y-540</t>
  </si>
  <si>
    <t>SIVINCHA PACHECO ANA CARMEN</t>
  </si>
  <si>
    <t>V3T-458</t>
  </si>
  <si>
    <t>HUANCA HUALLA ANDRES</t>
  </si>
  <si>
    <t>V5L-571</t>
  </si>
  <si>
    <t>SALINAS MORE BETTY MARLENE</t>
  </si>
  <si>
    <t>SALINAS GOMEZ EDGAR</t>
  </si>
  <si>
    <t>BARRIOS SALINAS ALEXIS</t>
  </si>
  <si>
    <t>V2N-499</t>
  </si>
  <si>
    <t>TORRES FLORES TRINIDAD</t>
  </si>
  <si>
    <t>A0M-748</t>
  </si>
  <si>
    <t>GUTIERREZ AYAMAMANI BETTY</t>
  </si>
  <si>
    <t>CHIPANA GUTIERREZ LUCIANA</t>
  </si>
  <si>
    <t>V6C-615</t>
  </si>
  <si>
    <t>HALLASI NAVARRO AMPARO</t>
  </si>
  <si>
    <t>PEÑA VILLAFUERTE DAVID</t>
  </si>
  <si>
    <t>PEÑA HALLASI SANTIAGO</t>
  </si>
  <si>
    <t>PEÑA HALLASI FATIMA</t>
  </si>
  <si>
    <t>V6A-632</t>
  </si>
  <si>
    <t>HUARACCAHUA VERA EDITH</t>
  </si>
  <si>
    <t>V1X-438</t>
  </si>
  <si>
    <t>CAPACOILA QUISPE ROGER</t>
  </si>
  <si>
    <t>X1F-965</t>
  </si>
  <si>
    <t>ESPEJO ZEBALLOS ALBERTO</t>
  </si>
  <si>
    <t>V3P-084</t>
  </si>
  <si>
    <t>FERNANDEZ BARRENECHEA FERGIE</t>
  </si>
  <si>
    <t>FERNANDEZ BARRENECHEA RAMSEL</t>
  </si>
  <si>
    <t>V5O-438</t>
  </si>
  <si>
    <t>OVIEDO CALLO FLOR MAXIMILIANA</t>
  </si>
  <si>
    <t>OVIEDO CHOQUE CEFERINO</t>
  </si>
  <si>
    <t>V4F-466</t>
  </si>
  <si>
    <t>LIÑAN LUQUE JUAN CARLOS</t>
  </si>
  <si>
    <t>LIÑAN HUARSACCA MASIEL</t>
  </si>
  <si>
    <t>HUARSACA CHOQUE LAURA LIDIA</t>
  </si>
  <si>
    <t>V1K-680</t>
  </si>
  <si>
    <t>HERRERA GUILLEN HUMBERTO</t>
  </si>
  <si>
    <t>V4S-791</t>
  </si>
  <si>
    <t>ACHIRCANA CONDORI ELENA</t>
  </si>
  <si>
    <t>CHARRES MITA EDUARDO</t>
  </si>
  <si>
    <t>ALA CASQUINA ROSALINDA</t>
  </si>
  <si>
    <t>HUANQQUE CUTI DOMINGA</t>
  </si>
  <si>
    <t>ALA ZOLORZANO CATHERINE</t>
  </si>
  <si>
    <t>ALA ZOLORZANO ALISON KIARA</t>
  </si>
  <si>
    <t>TAYPE ACHIRCANA BRITNEY</t>
  </si>
  <si>
    <t>V6M-338</t>
  </si>
  <si>
    <t>CHAMBILLA PACHECO FERNANDO</t>
  </si>
  <si>
    <t>A5L-478</t>
  </si>
  <si>
    <t>URBIOLA RAMOS KARLA ALEJANDRA</t>
  </si>
  <si>
    <t>Z6H-829</t>
  </si>
  <si>
    <t>TORRES VALDIVIA VALENTIN</t>
  </si>
  <si>
    <t>V5Z-020</t>
  </si>
  <si>
    <t>TAPIA VALDIVIA ROSARIO AMPARO</t>
  </si>
  <si>
    <t>F7Q-680</t>
  </si>
  <si>
    <t>MORALES FERNANDEZ CESAR ANDRE</t>
  </si>
  <si>
    <t>TICONA QUISPE YORDY MIGUL</t>
  </si>
  <si>
    <t>SONCCO QUISPE JOSE CARLOS</t>
  </si>
  <si>
    <t>SURCO QUISPE JUAN EDWIN</t>
  </si>
  <si>
    <t>IZQUIERDO HUARZA ABDUL ISAAC</t>
  </si>
  <si>
    <t>TRIDAVILCA ALVAREZ JANETH RUTH</t>
  </si>
  <si>
    <t>TRIDAVILCA ALVAREZ JHOSSELY SINDY</t>
  </si>
  <si>
    <t>VELASQUEZ NUÑEZ ONCESA</t>
  </si>
  <si>
    <t>DIAZ ARIAS LADY RAQUEL</t>
  </si>
  <si>
    <t>DELGADO TEJADA KATHERINE KELLY</t>
  </si>
  <si>
    <t>TICONA TICONA ROMINA</t>
  </si>
  <si>
    <t>TICONA CALLA ELSA</t>
  </si>
  <si>
    <t>TICONA TICONA DIEGO</t>
  </si>
  <si>
    <t>TICONA TICONA PAMELA</t>
  </si>
  <si>
    <t>V1E-580</t>
  </si>
  <si>
    <t>V6H-309</t>
  </si>
  <si>
    <t>V5B-310</t>
  </si>
  <si>
    <t>V4P-248</t>
  </si>
  <si>
    <t>V1Q-635</t>
  </si>
  <si>
    <t>V3U-719</t>
  </si>
  <si>
    <t>V4D-482</t>
  </si>
  <si>
    <t>V3F-454</t>
  </si>
  <si>
    <t>V4E-204</t>
  </si>
  <si>
    <t>V6S-595</t>
  </si>
  <si>
    <t>HELACCAMA ALCAHUAMAN R</t>
  </si>
  <si>
    <t>B3V-722</t>
  </si>
  <si>
    <t>MENDOZA LUQUE ROGER</t>
  </si>
  <si>
    <t>DEZA CCAMA YESSICA</t>
  </si>
  <si>
    <t>LA TORRE GALLEGOS HUGO</t>
  </si>
  <si>
    <t>V4T-507</t>
  </si>
  <si>
    <t>BELLIDO ANCO MAXIMO</t>
  </si>
  <si>
    <t>V1N-681</t>
  </si>
  <si>
    <t>MISAD JORGE VICTOR</t>
  </si>
  <si>
    <t>A7A-791</t>
  </si>
  <si>
    <t>FLORES DE CORNEJO JOAQUINA</t>
  </si>
  <si>
    <t>V8S-716</t>
  </si>
  <si>
    <t>PAREDES FLORES EMILIA</t>
  </si>
  <si>
    <t>V2C-596</t>
  </si>
  <si>
    <t>VEGA CHAUPI ANDREA ROCIO</t>
  </si>
  <si>
    <t>ANCALLE QUISPE ALDAIR</t>
  </si>
  <si>
    <t>V5A-568</t>
  </si>
  <si>
    <t>NEYRA RANILLA MAGDALENA</t>
  </si>
  <si>
    <t>MAMANI ANCO NORMA</t>
  </si>
  <si>
    <t>V1I-747</t>
  </si>
  <si>
    <t>CALAZAYA YANA YOLA</t>
  </si>
  <si>
    <t>VELASQUES MURILLO LUZ</t>
  </si>
  <si>
    <t>GALLEGOS CASTRO EDUARDO</t>
  </si>
  <si>
    <t>D3Q-640</t>
  </si>
  <si>
    <t>V4Q-451</t>
  </si>
  <si>
    <t>V6L-137</t>
  </si>
  <si>
    <t>CONDORI MACHACA RAYMUNDA</t>
  </si>
  <si>
    <t>MANRIQUE CALDAS MICHEL YULISA</t>
  </si>
  <si>
    <t>V6T-638</t>
  </si>
  <si>
    <t>RUPAILLA CHAMPI JOSEPH</t>
  </si>
  <si>
    <t>RODRIGUEZ GONZALES RUBI</t>
  </si>
  <si>
    <t>V5D-416</t>
  </si>
  <si>
    <t>V1U-749</t>
  </si>
  <si>
    <t>Z6M-804</t>
  </si>
  <si>
    <t>V2I-634</t>
  </si>
  <si>
    <t>B2C-697</t>
  </si>
  <si>
    <t>V6B-118</t>
  </si>
  <si>
    <t>Y1J-565</t>
  </si>
  <si>
    <t>V6K-438</t>
  </si>
  <si>
    <t>V6R-343</t>
  </si>
  <si>
    <t>B3L-563</t>
  </si>
  <si>
    <t>V6E-693</t>
  </si>
  <si>
    <t>V3K-609</t>
  </si>
  <si>
    <t>Z1O-078</t>
  </si>
  <si>
    <t>V6V-414</t>
  </si>
  <si>
    <t>V5X-318</t>
  </si>
  <si>
    <t>V6N-690</t>
  </si>
  <si>
    <t>V1M-692</t>
  </si>
  <si>
    <t>V5W-343</t>
  </si>
  <si>
    <t>V5V-680</t>
  </si>
  <si>
    <t>V5O-107</t>
  </si>
  <si>
    <t>V1Q-299</t>
  </si>
  <si>
    <t>V6O-296</t>
  </si>
  <si>
    <t>V2F-641</t>
  </si>
  <si>
    <t>V3A-679</t>
  </si>
  <si>
    <t>V5Q-159</t>
  </si>
  <si>
    <t>V4R-516</t>
  </si>
  <si>
    <t>V5J-649</t>
  </si>
  <si>
    <t>X2X-270</t>
  </si>
  <si>
    <t>V5M-219</t>
  </si>
  <si>
    <t>V4Z-250</t>
  </si>
  <si>
    <t>X1M-003</t>
  </si>
  <si>
    <t>V7D-639</t>
  </si>
  <si>
    <t>FLORES ALVIZ ALEJANDRA</t>
  </si>
  <si>
    <t>ROJAS ARREDONDO GABI ROXANA</t>
  </si>
  <si>
    <t>CCAZA VILCAPE ANITA</t>
  </si>
  <si>
    <t>DIANDEROS MIRANDA CARMEN ZULEMA</t>
  </si>
  <si>
    <t>CHORA DE GARCIA DOLORES</t>
  </si>
  <si>
    <t>MUSAJA CANAZA LIDIA</t>
  </si>
  <si>
    <t>MUSAJA CANAZA JESSICA</t>
  </si>
  <si>
    <t>MONTESINOS MAMANI RANDU EDUARDO</t>
  </si>
  <si>
    <t>HUAMAN CARDENAS RAUL RENE</t>
  </si>
  <si>
    <t>CONDORI SACSI MAGGI</t>
  </si>
  <si>
    <t>OBREGON VILLALOBOS FERNANDO</t>
  </si>
  <si>
    <t>ECHEGARAY TORRES ODED</t>
  </si>
  <si>
    <t>GAMERO TELLO ROSARIO</t>
  </si>
  <si>
    <t>HUANCACHOQUE HUISA GERSON</t>
  </si>
  <si>
    <t>VILLENA VDA DE BEGAZO ELDA BEATRIZ</t>
  </si>
  <si>
    <t>SALINAS TELLO DOILA MAGALI</t>
  </si>
  <si>
    <t>ARAPA TURPO MARILYN</t>
  </si>
  <si>
    <t>CARRANZA FUERTES ROSEL</t>
  </si>
  <si>
    <t>CANZAS HUARZAYA EDISON</t>
  </si>
  <si>
    <t>NEYRA PAREDES IRIS</t>
  </si>
  <si>
    <t>LLANOS MENDOZA ROSARIO</t>
  </si>
  <si>
    <t>HANCCO HANCCO YOVANA</t>
  </si>
  <si>
    <t>TORRES TACUMA RUBY ESTRELLA</t>
  </si>
  <si>
    <t>VILLALTA MAYTA PAMELA</t>
  </si>
  <si>
    <t>MAMANI AROQUIPA CHRISTIAN</t>
  </si>
  <si>
    <t>NUÑONCA CHOQUE ELIZABETH</t>
  </si>
  <si>
    <t>CALLO QUISPE VICTOR</t>
  </si>
  <si>
    <t>CONCHA HUARACHA RICARDINA</t>
  </si>
  <si>
    <t>TTORUCO HUAMANI  JUAN</t>
  </si>
  <si>
    <t>HUILLCA GIL LUIS</t>
  </si>
  <si>
    <t>TTORUCO HUAMANI ROGER</t>
  </si>
  <si>
    <t>MAYTA CAYLLAHUA WASHINTONG EDDY</t>
  </si>
  <si>
    <t>OVIEDO AGUILAR MARIA LOURDES</t>
  </si>
  <si>
    <t>TELLO AGUILAR MICHEL DANIELA</t>
  </si>
  <si>
    <t>AGUILAR CHOQUE KATHY MONICA</t>
  </si>
  <si>
    <t>OLIVAREZ AGUILAR CHRISTOPHER</t>
  </si>
  <si>
    <t>NAVARRO CHURA ERICK</t>
  </si>
  <si>
    <t>TORRES NAVARRO PAUL</t>
  </si>
  <si>
    <t>TORRES NAVAROO MAYDEN</t>
  </si>
  <si>
    <t>NAVARRO CACERES CELIA</t>
  </si>
  <si>
    <t>NAVARRO ACHIRCANA XIOMI</t>
  </si>
  <si>
    <t>ZARAYA QUISPE LUIS ANGEL</t>
  </si>
  <si>
    <t>MAMANI CORA MARGARITA</t>
  </si>
  <si>
    <t>TRIVEÑO CUBA ANDRES</t>
  </si>
  <si>
    <t>LLACHO ZANCA ELVIS DAVID</t>
  </si>
  <si>
    <t>QUISPE ESTEBA EMILIA</t>
  </si>
  <si>
    <t>LUQUE FLORES JOSE ANGEL</t>
  </si>
  <si>
    <t>CARCAUSTO MAMANI JHOANA KATHERINE</t>
  </si>
  <si>
    <t>ZEGARRA MARAZA MARCO ANTONIO</t>
  </si>
  <si>
    <t>FERNANDEZ PRADO GUSTAVO ADOLFO</t>
  </si>
  <si>
    <t>YANQUE FLORES LUZ ELVIRA</t>
  </si>
  <si>
    <t>DAVALOS VILLAROEL DANNA BRITNEY</t>
  </si>
  <si>
    <t>CRUZ GUZMAN SABINO</t>
  </si>
  <si>
    <t>PUMA APAZA ANDREA</t>
  </si>
  <si>
    <t>SOLIS QUINTANILLA  ROBBY</t>
  </si>
  <si>
    <t>CASTILLO LAZO OSCAR EMILIO</t>
  </si>
  <si>
    <t>APAZA CABRERA REYNA APOLA</t>
  </si>
  <si>
    <t>RETAMOZO APAZA ALEXANDRA BELEN</t>
  </si>
  <si>
    <t>RETAMOZO AROTAYPE SANDRA MILAGROS</t>
  </si>
  <si>
    <t>ORTIZ RETAMOZO WILIAN</t>
  </si>
  <si>
    <t>YANQUE NIFLA ERNESTO</t>
  </si>
  <si>
    <t>BARREDA CORDOVA EDER CARLOS</t>
  </si>
  <si>
    <t xml:space="preserve">LOZANO SULLA ILIFONSA </t>
  </si>
  <si>
    <t>RAMOS HUALLANCA JESSICA</t>
  </si>
  <si>
    <t>CONDORI CONDORI LEONCIO</t>
  </si>
  <si>
    <t>CUEVA BULNES GEAN CARLO</t>
  </si>
  <si>
    <t>ORTEGA SOTO VIRGINIA</t>
  </si>
  <si>
    <t>CAUNA MACHACA MARIELA LUCY</t>
  </si>
  <si>
    <t>BARRERA HANCCO LUIS</t>
  </si>
  <si>
    <t>LLERENA DE GALLEGOS MARTHA</t>
  </si>
  <si>
    <t>CUTIRE HUAMAN NAYELI</t>
  </si>
  <si>
    <t>HUAMAN BALLON MARIA LUISA</t>
  </si>
  <si>
    <t>CHOQUE VITA JESUS DAVIDD</t>
  </si>
  <si>
    <t>OSORIO VARGAS BARTOLO</t>
  </si>
  <si>
    <t>ROJAS FLORES CAMILA</t>
  </si>
  <si>
    <t>PINTO ZEVALLOS SANTIAGO MATHIAS</t>
  </si>
  <si>
    <t>ORTIZ ZEBALLOS DIANA CAROLINA</t>
  </si>
  <si>
    <t>SOLIS OVALLE MARITZA</t>
  </si>
  <si>
    <t>CALLO  FLORES ELIZABETH</t>
  </si>
  <si>
    <t>AMBROSIO SUMARI MARIBEL</t>
  </si>
  <si>
    <t>QUISPE CACERES MARIA ELENA</t>
  </si>
  <si>
    <t>ALVAREZ DELGADO JESUS</t>
  </si>
  <si>
    <t>MEJIA BELTRAN VICTOR GINO</t>
  </si>
  <si>
    <t>CHORIZ ALARCON MILAGROS</t>
  </si>
  <si>
    <t>CHORIZ ALARCON ANTHONY</t>
  </si>
  <si>
    <t>CHORIZ ALARCON SANTIAGO</t>
  </si>
  <si>
    <t>QUIA MAMANI JOSEFINA</t>
  </si>
  <si>
    <t>VALDIVIA QUIROGA DIEGO RAFAEL</t>
  </si>
  <si>
    <t>NUÑONCA MAMANI RUBEN GILBERT</t>
  </si>
  <si>
    <t>CCOPA YNCA ARIANA RAQUEL</t>
  </si>
  <si>
    <t>YNCA APARICIO ROZANA</t>
  </si>
  <si>
    <t>YANQUE MAMANI PABLO</t>
  </si>
  <si>
    <t>QUISPE CABEZA FRANCISCA</t>
  </si>
  <si>
    <t>LLERENA DE LLERENA JUANA</t>
  </si>
  <si>
    <t>CCAMA YESICA</t>
  </si>
  <si>
    <t>ACHATA CCAMA RAFAEL</t>
  </si>
  <si>
    <t>UMASI SAYCO ADRIAN</t>
  </si>
  <si>
    <t>CONZA COLQUE DAVID</t>
  </si>
  <si>
    <t>ZAPATA ZEBALLOS VIANNEY</t>
  </si>
  <si>
    <t>PACO CHIJANI KOSE MARCOS</t>
  </si>
  <si>
    <t>CARDENAS COLLADO LILIAN MARLENI</t>
  </si>
  <si>
    <t>PINEDA PORTUGAL NICASIO</t>
  </si>
  <si>
    <t>MENDOZA ARGUELLAS CHRISTINA</t>
  </si>
  <si>
    <t>BEDOYA HURTADO NOEMI</t>
  </si>
  <si>
    <t>CHINO LARICO KEY</t>
  </si>
  <si>
    <t>LOZANO CHINO FERNANDO</t>
  </si>
  <si>
    <t>CHOCANO HUASACAINA ENRIQUE</t>
  </si>
  <si>
    <t>LOZANO BEDOYA MARCELA</t>
  </si>
  <si>
    <t>LOZANO VALDERRAMA FERNANDO</t>
  </si>
  <si>
    <t>GARCIA PAREDES BERTHA MARIA DEL PILAR</t>
  </si>
  <si>
    <t>TARIFA DE CRUZ VICTORIA LUCIA</t>
  </si>
  <si>
    <t>HANCO CANSAYA JULIO</t>
  </si>
  <si>
    <t>MEZA SALINAS NELLY</t>
  </si>
  <si>
    <t>APAZA MEZA YULIANA</t>
  </si>
  <si>
    <t>ARAGON HUARACHA VICTOR</t>
  </si>
  <si>
    <t>FERNANDEZ RODRIGUEZ LUCILA EUFEMIA</t>
  </si>
  <si>
    <t>MACHACA CALCINA JULIANA</t>
  </si>
  <si>
    <t>BARRIOS VILLASANTE JORGE SEBASTIAN</t>
  </si>
  <si>
    <t>B2C-967</t>
  </si>
  <si>
    <t>V4R-186</t>
  </si>
  <si>
    <t>Z4O-330</t>
  </si>
  <si>
    <t>V2N-337</t>
  </si>
  <si>
    <t>V3H-244</t>
  </si>
  <si>
    <t>V4S-188</t>
  </si>
  <si>
    <t>V3J-254</t>
  </si>
  <si>
    <t>V4E-382</t>
  </si>
  <si>
    <t>C8E-319</t>
  </si>
  <si>
    <t>B6R-049</t>
  </si>
  <si>
    <t>U7T-029</t>
  </si>
  <si>
    <t>V6G-498</t>
  </si>
  <si>
    <t>V7E-528</t>
  </si>
  <si>
    <t>V5L-237</t>
  </si>
  <si>
    <t>A2F-718</t>
  </si>
  <si>
    <t>X3X-364</t>
  </si>
  <si>
    <t>V6I-410</t>
  </si>
  <si>
    <t>V1L-714</t>
  </si>
  <si>
    <t>V4R-153</t>
  </si>
  <si>
    <t>A4Q-721</t>
  </si>
  <si>
    <t>C7R-211</t>
  </si>
  <si>
    <t>V2J-641</t>
  </si>
  <si>
    <t>V5A-689</t>
  </si>
  <si>
    <t>V3S-247</t>
  </si>
  <si>
    <t>V8A-021</t>
  </si>
  <si>
    <t>V3I-625</t>
  </si>
  <si>
    <t>V3M-402</t>
  </si>
  <si>
    <t>V3Y-026</t>
  </si>
  <si>
    <t>Z6H-802</t>
  </si>
  <si>
    <t>V1Z-409</t>
  </si>
  <si>
    <t>V8Q-781</t>
  </si>
  <si>
    <t>V5V-479</t>
  </si>
  <si>
    <t>Z1B-793</t>
  </si>
  <si>
    <t>V3W-605</t>
  </si>
  <si>
    <t>V7O-723</t>
  </si>
  <si>
    <t>ALW-605</t>
  </si>
  <si>
    <t>Z2V-564</t>
  </si>
  <si>
    <t>F6J-344</t>
  </si>
  <si>
    <t>V6F-035</t>
  </si>
  <si>
    <t>V7T-004</t>
  </si>
  <si>
    <t>V3P-657</t>
  </si>
  <si>
    <t>V5J-052</t>
  </si>
  <si>
    <t>V5R-621</t>
  </si>
  <si>
    <t>Z4C-123</t>
  </si>
  <si>
    <t>F9A-389</t>
  </si>
  <si>
    <t>V5D-722</t>
  </si>
  <si>
    <t>V5Q-122</t>
  </si>
  <si>
    <t>V5G-122</t>
  </si>
  <si>
    <t>V4M-043</t>
  </si>
  <si>
    <t>Z1B-771</t>
  </si>
  <si>
    <t>V4O-017</t>
  </si>
  <si>
    <t>V6T-339</t>
  </si>
  <si>
    <t>V3V-514</t>
  </si>
  <si>
    <t>JAUREGUI  MANTILLA ANGIE CAROLINA</t>
  </si>
  <si>
    <t>BAUTISTA ESTRADA MARUJA</t>
  </si>
  <si>
    <t>CCOSCO BAUTISTA PALOMA</t>
  </si>
  <si>
    <t>AGUIRRE CORONEL MADELEYNE</t>
  </si>
  <si>
    <t>CCOSCO GLORES ADOLFO</t>
  </si>
  <si>
    <t>QUEZADA QUEZADA ANGEL MARTIN</t>
  </si>
  <si>
    <t>ZEBALLOS ROMERO ALFONSO</t>
  </si>
  <si>
    <t>KANA HUILLCA SAMUEL</t>
  </si>
  <si>
    <t>PUMA CHAVEZ ABRAHAM</t>
  </si>
  <si>
    <t>MAMANI CHAMBI MIGUEL</t>
  </si>
  <si>
    <t>ATAR RIOS ROSANA</t>
  </si>
  <si>
    <t>ALIAGA MARIACA ESTRELLA ESTEFANI</t>
  </si>
  <si>
    <t>GUTIERREZ TAPIA GERBER LENIN</t>
  </si>
  <si>
    <t>POLANCO AGUILAR HUGO ANTONIO</t>
  </si>
  <si>
    <t>DELGADO VELARDE ERICA</t>
  </si>
  <si>
    <t>OCHOA BARRIALES SAMUEL TEOFILO</t>
  </si>
  <si>
    <t>PUMA RAMOS VILMA ANGELICA</t>
  </si>
  <si>
    <t>ALBARRACIN MABEL</t>
  </si>
  <si>
    <t>VARGAS ALBARRACIN ALEJANDRO</t>
  </si>
  <si>
    <t>CHUCTAYA ZAMBRANO TERESA</t>
  </si>
  <si>
    <t>YUCRA CHAMBI JUAN CANCIO</t>
  </si>
  <si>
    <t>VALLADARES ZEVALLOS ALVARO MANUEL</t>
  </si>
  <si>
    <t>PUMAYALI  DIAZ DANIELA</t>
  </si>
  <si>
    <t>PUMAYALI  DIAZ CARLOS ALBERTO</t>
  </si>
  <si>
    <t>PUMAYALI DIAZ MICAELA</t>
  </si>
  <si>
    <t>DIAZ SOLORZANO JHANINTI</t>
  </si>
  <si>
    <t>COAGUILA MAMANI KATY</t>
  </si>
  <si>
    <t>QUISPE LIPA CHRISTOPHER</t>
  </si>
  <si>
    <t>LIPE MAMANI ELEANA</t>
  </si>
  <si>
    <t>MEDINA APAZA JULIO</t>
  </si>
  <si>
    <t>VALDIVIA HANCCO GABRIELA</t>
  </si>
  <si>
    <t>MOSTAJO VERA LEONOR</t>
  </si>
  <si>
    <t>URDAY MENDOZA JUAN FREDY</t>
  </si>
  <si>
    <t>BANDA CHINO YOVANA CARMEN</t>
  </si>
  <si>
    <t>VILCA BANDA ANA CELIA</t>
  </si>
  <si>
    <t>VILCA BANDA SEBASTIAN</t>
  </si>
  <si>
    <t>ORTIZ VILLASANTE MERTINA</t>
  </si>
  <si>
    <t>ZARAVIA SANCHEZ DINA</t>
  </si>
  <si>
    <t>HUANCA PALOMINO CARNIA</t>
  </si>
  <si>
    <t>CRUZ TORRES JUANA</t>
  </si>
  <si>
    <t>HUERTA MEZA SILVIA</t>
  </si>
  <si>
    <t>CERVANTES YANA KENNY DARWIN</t>
  </si>
  <si>
    <t>SINGUÑA DURAND YANIS ROSA</t>
  </si>
  <si>
    <t>QUISPE CHARCA TOMAS</t>
  </si>
  <si>
    <t>CAMANA-CAMANA</t>
  </si>
  <si>
    <t>CHALLA VILCHEZ MAXIMILIANA</t>
  </si>
  <si>
    <t>CHAVEZ RIVEROS REYNER</t>
  </si>
  <si>
    <t>V6O-800</t>
  </si>
  <si>
    <t>V6E-274</t>
  </si>
  <si>
    <t>V7U-409</t>
  </si>
  <si>
    <t>V1F-426</t>
  </si>
  <si>
    <t>V5P-209</t>
  </si>
  <si>
    <t>V5F-650</t>
  </si>
  <si>
    <t>V3K-483</t>
  </si>
  <si>
    <t>NUÑEZ ALCA SHELY</t>
  </si>
  <si>
    <t>NUÑEZ ALCA YANELA</t>
  </si>
  <si>
    <t>ALCA BERNAL JEANETTE</t>
  </si>
  <si>
    <t>JULI YANARICO CERAFINA</t>
  </si>
  <si>
    <t>JULI ARJONA ALEX</t>
  </si>
  <si>
    <t>PONCE JUAN CARLOS</t>
  </si>
  <si>
    <t>FLORES ORIHUELA  DAVID FERMIN</t>
  </si>
  <si>
    <t>CORNEJO SALAS JESUS</t>
  </si>
  <si>
    <t>MAMANI VILCA WILIAN</t>
  </si>
  <si>
    <t>QUISPE MAMANI NICASIA</t>
  </si>
  <si>
    <t>CABANA ROQUE SANTOS</t>
  </si>
  <si>
    <t>ALVAREZ NIETO LUZ DINA</t>
  </si>
  <si>
    <t>219-17</t>
  </si>
  <si>
    <t>4830-1C</t>
  </si>
  <si>
    <t>MCQ18394</t>
  </si>
  <si>
    <t>V2H-697</t>
  </si>
  <si>
    <t>V5U-391</t>
  </si>
  <si>
    <t>C9Z-425</t>
  </si>
  <si>
    <t>V1R-658</t>
  </si>
  <si>
    <t>V1T-667</t>
  </si>
  <si>
    <t>V2M-784</t>
  </si>
  <si>
    <t>V1K-148</t>
  </si>
  <si>
    <t>V6O-143</t>
  </si>
  <si>
    <t>V6G-512</t>
  </si>
  <si>
    <t>V7E-756</t>
  </si>
  <si>
    <t>V1P-742</t>
  </si>
  <si>
    <t>V4K-436</t>
  </si>
  <si>
    <t>V7A-336</t>
  </si>
  <si>
    <t>ARAGON GALLEGOS JOSE LUIS</t>
  </si>
  <si>
    <t>ALARCON DE LA CRUZ YANINA</t>
  </si>
  <si>
    <t>HANI CUADROS ARTURO</t>
  </si>
  <si>
    <t>PILCO CHICCHIAPAZA DORIS</t>
  </si>
  <si>
    <t>SILVA AVILES TOMAS</t>
  </si>
  <si>
    <t>HERRERA ARELA ALEJANDRA JESUS</t>
  </si>
  <si>
    <t>ARELA MALDONADO YESMIN</t>
  </si>
  <si>
    <t>QUISPE ARELA FABIAN</t>
  </si>
  <si>
    <t>HERRERA ARELA FRANCO</t>
  </si>
  <si>
    <t>ESCOBAR MENDOZA MARTIN</t>
  </si>
  <si>
    <t>LEYVA MENDOZA JOSE ANTONIO</t>
  </si>
  <si>
    <t>TIZON SENCIA CHRITIAN JOEL</t>
  </si>
  <si>
    <t>MALCUACCHA MAMAMNI DANITSA</t>
  </si>
  <si>
    <t>CAHUANTICO CAHUANTICO GREGORIA</t>
  </si>
  <si>
    <t>ARREDONDO MEJIA MARIA</t>
  </si>
  <si>
    <t>CHOQUE CUTIPA CARMEN</t>
  </si>
  <si>
    <t>ZEA URBIOLA MAURO RENE</t>
  </si>
  <si>
    <t>GOMEZ DE PARICAHUA SOLEDAD</t>
  </si>
  <si>
    <t>V4E-742</t>
  </si>
  <si>
    <t>V6J-073</t>
  </si>
  <si>
    <t>MENDOZA VALENCIA DAISLAO</t>
  </si>
  <si>
    <t>MEDINA ROJAS JULIA</t>
  </si>
  <si>
    <t>VICENTE MEDINA KAROLINA</t>
  </si>
  <si>
    <t>V6L-010</t>
  </si>
  <si>
    <t>V3I-104</t>
  </si>
  <si>
    <t>V7X-575</t>
  </si>
  <si>
    <t>V6F-459</t>
  </si>
  <si>
    <t>V8K-734</t>
  </si>
  <si>
    <t>V4O-083</t>
  </si>
  <si>
    <t>V1X-388</t>
  </si>
  <si>
    <t>V2T-582</t>
  </si>
  <si>
    <t>V3Q-421</t>
  </si>
  <si>
    <t>V6N-603</t>
  </si>
  <si>
    <t>V1I-568</t>
  </si>
  <si>
    <t>V2Z-184</t>
  </si>
  <si>
    <t>V5V-218</t>
  </si>
  <si>
    <t>V7X-117</t>
  </si>
  <si>
    <t>Y1J-235</t>
  </si>
  <si>
    <t>A0X-957</t>
  </si>
  <si>
    <t>V3L-347</t>
  </si>
  <si>
    <t>V5S-368</t>
  </si>
  <si>
    <t>V4B-374</t>
  </si>
  <si>
    <t>ROZAS QQUELCCA ELOY GUILLERMO</t>
  </si>
  <si>
    <t>ENRIQUEZ DE LA CRUZ LOURDES</t>
  </si>
  <si>
    <t>QUISPE GUTIRREZ FORTUNATA</t>
  </si>
  <si>
    <t>ALVAREZ ALVAREZ CIRIACA</t>
  </si>
  <si>
    <t>SOLIS VERASTEGUI ROSA</t>
  </si>
  <si>
    <t>LOZADA FERNANDES LUCIO</t>
  </si>
  <si>
    <t>BENAVENTE BENAVENTE ALEJANDRINA</t>
  </si>
  <si>
    <t>YALLERCO POCSI JUSTINA</t>
  </si>
  <si>
    <t xml:space="preserve">NAVIA ORTIZ JUAN CARLOS </t>
  </si>
  <si>
    <t>HUACARPUMA JAVIER ANA PAOLA</t>
  </si>
  <si>
    <t>HUACARPUMA JAVIER JOSE</t>
  </si>
  <si>
    <t>JAVIER QUISPE RUBI</t>
  </si>
  <si>
    <t>HERRERA HUACARPUMA ALEJANDRA</t>
  </si>
  <si>
    <t>CARCAUSTO OCHOCHOQUE ISABEL</t>
  </si>
  <si>
    <t>SAHUANAY DE CAPATA NELLY</t>
  </si>
  <si>
    <t>HUANCOLLO ROSAS JUANA FRANCISCA</t>
  </si>
  <si>
    <t>ASILLO SALAS MARIA ANGELA</t>
  </si>
  <si>
    <t>CENCARA CENCARA CEFERINA</t>
  </si>
  <si>
    <t>OVIEDO HUILLCA HILARIO</t>
  </si>
  <si>
    <t>MULLISACA CUTIPA ANA</t>
  </si>
  <si>
    <t>PACARA GUTIERREZ DELIA MARITZA</t>
  </si>
  <si>
    <t>VALERA ADCO ROSA</t>
  </si>
  <si>
    <t>TICONA CHIRINOS FRILAN</t>
  </si>
  <si>
    <t>AÑASCO MENCIA ALEJANDRO</t>
  </si>
  <si>
    <t xml:space="preserve">CHORA MAMANI FABRICIO </t>
  </si>
  <si>
    <t>RODRIGUEZ BARREDA HEIDY LUCIA</t>
  </si>
  <si>
    <t>DIANDERAS CACERES DE OQUE MARIA DEL CARMEN</t>
  </si>
  <si>
    <t>ROQUE DIANDERAS ROCIO DEL CARMEN</t>
  </si>
  <si>
    <t>REVILLA FERNANDEZ ROXANA</t>
  </si>
  <si>
    <t>5867-DM</t>
  </si>
  <si>
    <t>V1W-118</t>
  </si>
  <si>
    <t>A6B-731</t>
  </si>
  <si>
    <t>V2D-020</t>
  </si>
  <si>
    <t>MANRIQUE NUÑEZ RUTH JUANA</t>
  </si>
  <si>
    <t>QUISPE KALLI HEYMI</t>
  </si>
  <si>
    <t>MONTALICO QUENTA  TIMOTEO</t>
  </si>
  <si>
    <t>VALDIVIA CANAZAS AMPARO</t>
  </si>
  <si>
    <t>PHILCO ARCE GREGORIO</t>
  </si>
  <si>
    <t>CHOQUE YANA JORGE</t>
  </si>
  <si>
    <t>PARI VARGAS AYDEE</t>
  </si>
  <si>
    <t>PILCO FLORES TEODORA</t>
  </si>
  <si>
    <t>MAMANI PILCO ROSA MARIA</t>
  </si>
  <si>
    <t>ROSALES SALAS AMPARITO</t>
  </si>
  <si>
    <t>CARPIO VEGA ADRIEL</t>
  </si>
  <si>
    <t>SUAREZ IBARRA ORLANDO</t>
  </si>
  <si>
    <t>VELASQUEZ HURTADO LESLY RAQUEL</t>
  </si>
  <si>
    <t>PAYEHUANCA FLORES FLOR DE MARIA</t>
  </si>
  <si>
    <t>QUISPE QUISPE SEGUNDINA</t>
  </si>
  <si>
    <t>MAMANI MAMANI AIDA YANELA</t>
  </si>
  <si>
    <t>PEDREGAL-CAYLLOMA</t>
  </si>
  <si>
    <t>D1V-694</t>
  </si>
  <si>
    <t>V7D-922</t>
  </si>
  <si>
    <t>V18161</t>
  </si>
  <si>
    <t>V2R-292</t>
  </si>
  <si>
    <t>V1V-729</t>
  </si>
  <si>
    <t>M1J-445</t>
  </si>
  <si>
    <t>6580-5B</t>
  </si>
  <si>
    <t>V6E-455</t>
  </si>
  <si>
    <t>V7Z-508</t>
  </si>
  <si>
    <t>Y1Y-788</t>
  </si>
  <si>
    <t>V5F-449</t>
  </si>
  <si>
    <t>LOPEZ DAZA ANGEL</t>
  </si>
  <si>
    <t>LLAMOCA HUISA JASMIN</t>
  </si>
  <si>
    <t>LOPEZ HUISA BREYHAN ANGEL</t>
  </si>
  <si>
    <t>FLORES LAURA TERESA</t>
  </si>
  <si>
    <t>BELIZARIO COARI ROSA</t>
  </si>
  <si>
    <t>CHAIÑA QUISPE ISABEL</t>
  </si>
  <si>
    <t>PACHECO MIRANDA HUGO CESAR</t>
  </si>
  <si>
    <t>QUISPE CABANA AMELIA</t>
  </si>
  <si>
    <t>SENCIA OLLACHICA YANETT</t>
  </si>
  <si>
    <t>MAMANI HUANCAPZA LOURDES</t>
  </si>
  <si>
    <t>REYNOSO DE BECERRA IBETH NINFA</t>
  </si>
  <si>
    <t>LUQUE HUAMAN JJUAN CARLOS</t>
  </si>
  <si>
    <t>MACHACA VELASQUEZ KATHIA YAMILEY</t>
  </si>
  <si>
    <t>PALOMINO MEZA MATEO</t>
  </si>
  <si>
    <t>YUCRA CHURA CARLOS MANUEL</t>
  </si>
  <si>
    <t>VELASQUEZ NINATAYPE NATIVIDAD</t>
  </si>
  <si>
    <t>PACHECO MOTTA VICTOR</t>
  </si>
  <si>
    <t>CHIVAY-CAYLLOMA</t>
  </si>
  <si>
    <t>V3T-325</t>
  </si>
  <si>
    <t>V6N-593</t>
  </si>
  <si>
    <t>V7H-160</t>
  </si>
  <si>
    <t>A1O-758</t>
  </si>
  <si>
    <t>V3Q-627</t>
  </si>
  <si>
    <t>V7L-666</t>
  </si>
  <si>
    <t>V6M-468</t>
  </si>
  <si>
    <t>V4V-238</t>
  </si>
  <si>
    <t>4316-2V</t>
  </si>
  <si>
    <t>A9P-757</t>
  </si>
  <si>
    <t>V4E-638</t>
  </si>
  <si>
    <t>V4Q-034</t>
  </si>
  <si>
    <t>V2F-386</t>
  </si>
  <si>
    <t>V4P-505</t>
  </si>
  <si>
    <t>V4S-468</t>
  </si>
  <si>
    <t>V6X-197</t>
  </si>
  <si>
    <t>CRUZ RIOS HELDA DANIXI</t>
  </si>
  <si>
    <t>NUÑEZ ROSAS MARUJA FANY</t>
  </si>
  <si>
    <t>ENRIQUEZ TTITO GROVER LIDO</t>
  </si>
  <si>
    <t>HIHUAÑA HALLASI JUAN ALBERTO</t>
  </si>
  <si>
    <t>RODRIGUEZ VARGAS HILDA SATURNINA</t>
  </si>
  <si>
    <t>QUISPE HUAYTA JUANA LUISA</t>
  </si>
  <si>
    <t>VICEN VARGAS YESICA ANGELA</t>
  </si>
  <si>
    <t>PINEDA LLERENA MONIKA</t>
  </si>
  <si>
    <t>QUISPE ARONI WALTER</t>
  </si>
  <si>
    <t>TORRES CONDE JOSE</t>
  </si>
  <si>
    <t>TORRES CONDE DAVID</t>
  </si>
  <si>
    <t>TORRES CONDE BENILDA</t>
  </si>
  <si>
    <t>VILCA SONCO MARIBEL</t>
  </si>
  <si>
    <t>AFANCHO AHUMADO JHON</t>
  </si>
  <si>
    <t>RAMOS HUAJARDO CARLOS</t>
  </si>
  <si>
    <t>CONCHA MEDINA MARIO</t>
  </si>
  <si>
    <t>QUISPE CUTIPA JUAN ANTONIO</t>
  </si>
  <si>
    <t>SALAS MORALES MORAYMA</t>
  </si>
  <si>
    <t>CHIRINOS QUINTANA LUCIANA</t>
  </si>
  <si>
    <t>QUINTANA CUSICANQUI MARILYN</t>
  </si>
  <si>
    <t>CHIRINOS GARCIA JONATHAN</t>
  </si>
  <si>
    <t>CHURA CALAMAMANI NANCY</t>
  </si>
  <si>
    <t>CASAS CHURA MICHAEL</t>
  </si>
  <si>
    <t>CASAS CHURA LUIS GABRIEL</t>
  </si>
  <si>
    <t>RAMIREZ PEREZ CARMEN</t>
  </si>
  <si>
    <t>HUISA  CHOQUE GUILLERMO</t>
  </si>
  <si>
    <t>PARICAHUA CUTIPA ABRAHAN</t>
  </si>
  <si>
    <t>VARGAS NEYRA DEYSI YURI</t>
  </si>
  <si>
    <t>CCANCHI EUGENIO KATERINE MILAGROS</t>
  </si>
  <si>
    <t>CCHANCHI EUGENIO JERSON ANIBAL</t>
  </si>
  <si>
    <t>EUGENIO ROQUE LILIANA</t>
  </si>
  <si>
    <t>V3A-603</t>
  </si>
  <si>
    <t>V2M-088</t>
  </si>
  <si>
    <t>V4R-384</t>
  </si>
  <si>
    <t>V5C-559</t>
  </si>
  <si>
    <t>B0L-185</t>
  </si>
  <si>
    <t>V1W-346</t>
  </si>
  <si>
    <t>B8G-693</t>
  </si>
  <si>
    <t>V3J-094</t>
  </si>
  <si>
    <t>V2I-178</t>
  </si>
  <si>
    <t>V2X-698</t>
  </si>
  <si>
    <t>V4C-254</t>
  </si>
  <si>
    <t>V7U-048</t>
  </si>
  <si>
    <t>V6L-257</t>
  </si>
  <si>
    <t>V5R-873</t>
  </si>
  <si>
    <t>V2R-449</t>
  </si>
  <si>
    <t>6178-0M</t>
  </si>
  <si>
    <t>V4B-676</t>
  </si>
  <si>
    <t>V1T-535</t>
  </si>
  <si>
    <t>V7M-100</t>
  </si>
  <si>
    <t>UH-9992</t>
  </si>
  <si>
    <t>RX-1364</t>
  </si>
  <si>
    <t>FI-1883</t>
  </si>
  <si>
    <t>V4N-381</t>
  </si>
  <si>
    <t>V5J-391</t>
  </si>
  <si>
    <t>V3T-951</t>
  </si>
  <si>
    <t>X1M-764</t>
  </si>
  <si>
    <t>V2Z-232</t>
  </si>
  <si>
    <t>V5P-201</t>
  </si>
  <si>
    <t>Z1K-702</t>
  </si>
  <si>
    <t>AYQUI CHURA FABRICIO</t>
  </si>
  <si>
    <t>CHURA CALLATA ROSALIA</t>
  </si>
  <si>
    <t>QUISPE CHURA RONY JOEL</t>
  </si>
  <si>
    <t>TERAN LAVILLA XIMENA</t>
  </si>
  <si>
    <t>GIL PINEDO SANDRO</t>
  </si>
  <si>
    <t>HUAMAN CHICLLA VALERY  KRISTELL</t>
  </si>
  <si>
    <t>SUCASACA MAMANI BEATRIZ</t>
  </si>
  <si>
    <t>AROQUIPA GUTIERREZ  MARGARITA</t>
  </si>
  <si>
    <t>PICHA AROQUIPA RAQUEL</t>
  </si>
  <si>
    <t>MATTOS PINO LUIS BALTAZAR</t>
  </si>
  <si>
    <t>FERNANDEZ CASTRO JOAQUIN ENRIQUE</t>
  </si>
  <si>
    <t>SALCEDO IDME ISAC</t>
  </si>
  <si>
    <t>GAMARRA PACCORI FRESIA</t>
  </si>
  <si>
    <t>TITO GAMARRA SAMUEL DANIEL</t>
  </si>
  <si>
    <t>CRUZ CAMACHO RUTH NOEMI</t>
  </si>
  <si>
    <t>OCHOCHOQUE CHAVEZ KEVIN JAMIL</t>
  </si>
  <si>
    <t>PACHECO PEREZ ALEJANDRO</t>
  </si>
  <si>
    <t>ROJAS TALAVERA ROGELIO</t>
  </si>
  <si>
    <t>TEJADA MAMANI JESSICA</t>
  </si>
  <si>
    <t>TORRES CACERES LEONOR</t>
  </si>
  <si>
    <t>GUTIERREZ  TORRES JEICOB</t>
  </si>
  <si>
    <t>CHUCTAYA FLORES IRINEA</t>
  </si>
  <si>
    <t>SALCEDO QUISPE YANINA</t>
  </si>
  <si>
    <t>SLCEDO QUISPE WALTER</t>
  </si>
  <si>
    <t>SAAVEDRA CANO FELIX</t>
  </si>
  <si>
    <t>AGUILAR MERMA MARIA MAGDALENA</t>
  </si>
  <si>
    <t>MAMANI YANAPA LIZ</t>
  </si>
  <si>
    <t>VALERO COAQUIRA DANY</t>
  </si>
  <si>
    <t>TICONA CUARITE EVA</t>
  </si>
  <si>
    <t>VILLALOBOS LANDA EMILIANO</t>
  </si>
  <si>
    <t>TICONA AQUISE DAYANA ISABEL</t>
  </si>
  <si>
    <t>MEIDNA ESPINAR ANDRES JUSTO</t>
  </si>
  <si>
    <t>RODRIGUEZ HUAMANI NESTOR</t>
  </si>
  <si>
    <t>FLORES ARAGON KATIA</t>
  </si>
  <si>
    <t>VARGAS SANTOS OSCAR</t>
  </si>
  <si>
    <t>MALLCA OJEDA SANTIAGO</t>
  </si>
  <si>
    <t>OJEDA BORDA DEYSI</t>
  </si>
  <si>
    <t>QUISPE FLORES AGUSTIN ENRIQUE</t>
  </si>
  <si>
    <t>ROJAS GONZALES LEANDRO</t>
  </si>
  <si>
    <t>VELASQUEZ HUAMAN JOSE FERNANDO</t>
  </si>
  <si>
    <t>SANCA ZELA LEON</t>
  </si>
  <si>
    <t>BRAVO GRANADOS VICTOR ENRIQUE</t>
  </si>
  <si>
    <t>FLORES FLORES BRITANY</t>
  </si>
  <si>
    <t>V3F-711</t>
  </si>
  <si>
    <t>A0Y-782</t>
  </si>
  <si>
    <t>B7H-386</t>
  </si>
  <si>
    <t>MACEDO VALENCIA ANDRES</t>
  </si>
  <si>
    <t>SALAZAR HERRERA JUAN MANUEL</t>
  </si>
  <si>
    <t>QUISPEHUAMAN  YANA CARLOS HILARIO</t>
  </si>
  <si>
    <t>CARRASCO VASQUEZ MLAGROS ROSARIO</t>
  </si>
  <si>
    <t>MAMANI NINA PEDRO</t>
  </si>
  <si>
    <t>MOLLENDO-ISLAY</t>
  </si>
  <si>
    <t>Z1F-721</t>
  </si>
  <si>
    <t>V2V-594</t>
  </si>
  <si>
    <t>V6J-062</t>
  </si>
  <si>
    <t>V6P-287</t>
  </si>
  <si>
    <t>V5R-903</t>
  </si>
  <si>
    <t>V6D-181</t>
  </si>
  <si>
    <t>V1Z-750</t>
  </si>
  <si>
    <t>F9M-163</t>
  </si>
  <si>
    <t>V4C-330</t>
  </si>
  <si>
    <t>V7R-268</t>
  </si>
  <si>
    <t>V7F-610</t>
  </si>
  <si>
    <t>V2W-071</t>
  </si>
  <si>
    <t>V1W-406</t>
  </si>
  <si>
    <t>V1W+406</t>
  </si>
  <si>
    <t>V1K-569</t>
  </si>
  <si>
    <t>V8N-832</t>
  </si>
  <si>
    <t>V6T-592</t>
  </si>
  <si>
    <t>V5G-355</t>
  </si>
  <si>
    <t>V6A-373</t>
  </si>
  <si>
    <t>V5D-041</t>
  </si>
  <si>
    <t>V2V-969</t>
  </si>
  <si>
    <t>V5J-276</t>
  </si>
  <si>
    <t>V2R-481</t>
  </si>
  <si>
    <t>V5L-382</t>
  </si>
  <si>
    <t>V1R-046</t>
  </si>
  <si>
    <t>V1C-354</t>
  </si>
  <si>
    <t>X2K-783</t>
  </si>
  <si>
    <t>A1V-710</t>
  </si>
  <si>
    <t>V7I-374</t>
  </si>
  <si>
    <t>CCAMA CHISI AMBROSIO</t>
  </si>
  <si>
    <t>HUANCACHOQUE SIPAUCCAR ROSBIL</t>
  </si>
  <si>
    <t>OLAVE SAENZ KELY</t>
  </si>
  <si>
    <t>CUYO HUAMANI JOSE</t>
  </si>
  <si>
    <t>CALLA ESCARCENA SUSANA</t>
  </si>
  <si>
    <t>CHAUPI CHAIÑA CIRILA</t>
  </si>
  <si>
    <t>GARCIA HUANQUI  MARCELINA</t>
  </si>
  <si>
    <t>CHICORI OROSCO LUCIA</t>
  </si>
  <si>
    <t>LLOCLLE DE CCAMA ROSA</t>
  </si>
  <si>
    <t>FERNANDEZ MAMANI ABRAHAM</t>
  </si>
  <si>
    <t>QUISPE CARCAUSTO GABRIEL</t>
  </si>
  <si>
    <t>CALLA RONDON JONATAN</t>
  </si>
  <si>
    <t>CHUQUITAYPE YAURI FERNANDO</t>
  </si>
  <si>
    <t>GONZALES ARCE MICHAEL CESAR</t>
  </si>
  <si>
    <t>DELGADO RONDON JOSELITO</t>
  </si>
  <si>
    <t>CACYA LLACHO DELGADO JOHAN ULISES</t>
  </si>
  <si>
    <t>FLORES MAMANI JUAN RAMON</t>
  </si>
  <si>
    <t>GIL DELGADO ROBERT</t>
  </si>
  <si>
    <t>MENDOZA CONDORI YAMIL MEDALIT</t>
  </si>
  <si>
    <t>HUAMAN MENDOZA BRIGITH</t>
  </si>
  <si>
    <t xml:space="preserve">CACERES CONDORI  LUCRECIA </t>
  </si>
  <si>
    <t>FARFAN ENRIQUEZ NICASIA</t>
  </si>
  <si>
    <t>PILCO MAMANI PEDRO</t>
  </si>
  <si>
    <t>VILLENA FARFAN ELDA BEATRIZ</t>
  </si>
  <si>
    <t>HUAMANI PUMA ANGEL</t>
  </si>
  <si>
    <t>VILLANUEVA MAMANI GRETY</t>
  </si>
  <si>
    <t>SUAREZ LLERENA MARISA</t>
  </si>
  <si>
    <t>PACHECO MANRIQUE ANITA</t>
  </si>
  <si>
    <t>BALCAZAR ARROE ANGELA</t>
  </si>
  <si>
    <t>ESCALANTE BALCAZAR GIAN  PIERO</t>
  </si>
  <si>
    <t>ESCALANTE BALCAZAR THIAGO</t>
  </si>
  <si>
    <t>AQUISE QUISPE XIOMARA NAOMY</t>
  </si>
  <si>
    <t>QUISPE JIMENEZ NATHAN FERNANDO</t>
  </si>
  <si>
    <t>QUISPE JIMENEZ DYLAN ESTEFANO</t>
  </si>
  <si>
    <t>QUISPE JIMENEZ ANGEL</t>
  </si>
  <si>
    <t>JIMENEZ MAMANI GYNA JACKELINE</t>
  </si>
  <si>
    <t>ZUÑIGA QUISPE LUIS</t>
  </si>
  <si>
    <t>APAZA VILCA ROXANA</t>
  </si>
  <si>
    <t>CHURA LIMACHE EMETERIA</t>
  </si>
  <si>
    <t>OVIEDO CUADROS ERIKA</t>
  </si>
  <si>
    <t>BECERRA LUIS ANTONIO</t>
  </si>
  <si>
    <t>CHURA FLORES TEOFILO</t>
  </si>
  <si>
    <t>PINTO SUPO EMILY</t>
  </si>
  <si>
    <t>RIMACHE CASTRO EMID</t>
  </si>
  <si>
    <t>JUAREZ CHINO BRIFILES</t>
  </si>
  <si>
    <t>CHINO LARICO MARIA</t>
  </si>
  <si>
    <t>RAMIREZ ESQUICHA LUCIA</t>
  </si>
  <si>
    <t>HUARCA GONZALES JHONATHAN</t>
  </si>
  <si>
    <t>YUCRA ATAUCURI ANGEL</t>
  </si>
  <si>
    <t>VARGAS IBAÑEZ VICTOR HUGO</t>
  </si>
  <si>
    <t>CHURATA CUPARI FRANCISCO</t>
  </si>
  <si>
    <t>BERBEJO MONTALVO JUANA</t>
  </si>
  <si>
    <t>CONDORI MARIN SAMUEL</t>
  </si>
  <si>
    <t>CARDENAS SUYO CARLOS</t>
  </si>
  <si>
    <t>PANDIA SUCAPUCA ROSARIA</t>
  </si>
  <si>
    <t>A9V-799</t>
  </si>
  <si>
    <t>V7M-469</t>
  </si>
  <si>
    <t>B0D-966</t>
  </si>
  <si>
    <t>V8O-842</t>
  </si>
  <si>
    <t>6366-6C</t>
  </si>
  <si>
    <t>Z5J-853</t>
  </si>
  <si>
    <t>V2W-329</t>
  </si>
  <si>
    <t>B1I-736</t>
  </si>
  <si>
    <t>V2V-221</t>
  </si>
  <si>
    <t>X2C-704</t>
  </si>
  <si>
    <t>V3P-602</t>
  </si>
  <si>
    <t>V6H-337</t>
  </si>
  <si>
    <t>V6G-753</t>
  </si>
  <si>
    <t>V8D-049</t>
  </si>
  <si>
    <t>F7V-720</t>
  </si>
  <si>
    <t>V3J-796</t>
  </si>
  <si>
    <t>V4G-348</t>
  </si>
  <si>
    <t>3269-3A</t>
  </si>
  <si>
    <t>V1V-696</t>
  </si>
  <si>
    <t>V2Z-296</t>
  </si>
  <si>
    <t>V4I-182</t>
  </si>
  <si>
    <t>V2W-747</t>
  </si>
  <si>
    <t>V3E-458</t>
  </si>
  <si>
    <t>V7I-112</t>
  </si>
  <si>
    <t>V5Y-684</t>
  </si>
  <si>
    <t>SALAZAR SANCHEZ YORDAN PIER</t>
  </si>
  <si>
    <t>SALINAS BENAVENTE SILVER ANGEL</t>
  </si>
  <si>
    <t>BENAVENTE ALVAREZ  NANCY ELIZABETH</t>
  </si>
  <si>
    <t>TRUJILLANO LLAMACA GINA</t>
  </si>
  <si>
    <t>ALPACA AYSA MARCELINA</t>
  </si>
  <si>
    <t>MENDOZA CARDENAS MARILYN</t>
  </si>
  <si>
    <t>SERRANO HERMOA GROVER</t>
  </si>
  <si>
    <t>NEYRA VIZCARDO MILAGROS</t>
  </si>
  <si>
    <t>CALCINA ARPI CLAOGINA CASILDA</t>
  </si>
  <si>
    <t>QUISPE CALCINA MARIELA ESMERITA</t>
  </si>
  <si>
    <t>CUBA DE AROQUIPA CEFERINA</t>
  </si>
  <si>
    <t>FIGUEROA CANAZA JUDITH</t>
  </si>
  <si>
    <t>CALDERON FUENTES MARIA</t>
  </si>
  <si>
    <t>RODRIGUEZ TAYPE EVER</t>
  </si>
  <si>
    <t>CHAVEZ LARREA PEDRO</t>
  </si>
  <si>
    <t>ROSAS FALCON NILDA</t>
  </si>
  <si>
    <t>CHAMPI INFA REMIGIO</t>
  </si>
  <si>
    <t>OLIVERA HUAMAN PAOLA</t>
  </si>
  <si>
    <t>HUILLCA PUMACAYO EUSEBIA</t>
  </si>
  <si>
    <t>LOAYSA SIHUINTA ABEL JESUS</t>
  </si>
  <si>
    <t>ESCOBEDO SALCEDO STACY</t>
  </si>
  <si>
    <t>CCAMA GALDOS KRISTEL MIREYA</t>
  </si>
  <si>
    <t>CUYO MACHACA NAILETH ANAHI</t>
  </si>
  <si>
    <t>PONCE MAMANI ALBI ARACELI</t>
  </si>
  <si>
    <t>HERRERA LOPEZ LUCRECIA</t>
  </si>
  <si>
    <t>INCAHUANACO DE YUCRA MAXIMILIANA</t>
  </si>
  <si>
    <t>CARRILLO SUPO OMAR BRUNO</t>
  </si>
  <si>
    <t>RUIZ LUNA DAVID RICARDO</t>
  </si>
  <si>
    <t>VARGAS ANCCO HUMBERTO</t>
  </si>
  <si>
    <t>CHAMBI PORTILLA BERTHA CARMEN</t>
  </si>
  <si>
    <t>CHAVEZ HILARIO JESUS DARWIN</t>
  </si>
  <si>
    <t>MEDINA MENDOZA NERY MARILU</t>
  </si>
  <si>
    <t>VITA CARDENAS PERCY</t>
  </si>
  <si>
    <t>TEYES CARCAUSTO JACKELINE</t>
  </si>
  <si>
    <t>BEGAZO COAGUILA JOSHUA</t>
  </si>
  <si>
    <t>COAGUILA MAYHUA ELIZABETH</t>
  </si>
  <si>
    <t>CUELLAR MORA JOHN JAVIER</t>
  </si>
  <si>
    <t>ARIAS SALAS MISAEL</t>
  </si>
  <si>
    <t>SOLIS RIVERA JUAN</t>
  </si>
  <si>
    <t>V7H-769</t>
  </si>
  <si>
    <t>P2L-365</t>
  </si>
  <si>
    <t>V3V-420</t>
  </si>
  <si>
    <t>V5I-513</t>
  </si>
  <si>
    <t>A2X-763</t>
  </si>
  <si>
    <t>V8N-820</t>
  </si>
  <si>
    <t>A3C-476</t>
  </si>
  <si>
    <t>V7J-584</t>
  </si>
  <si>
    <t>V6D-469</t>
  </si>
  <si>
    <t>V7S-226</t>
  </si>
  <si>
    <t>V4M-264</t>
  </si>
  <si>
    <t>V6K-287</t>
  </si>
  <si>
    <t>V7Y-183</t>
  </si>
  <si>
    <t>V1R-640</t>
  </si>
  <si>
    <t>V4M-241</t>
  </si>
  <si>
    <t>X1S-784</t>
  </si>
  <si>
    <t>V4Y-076</t>
  </si>
  <si>
    <t>B4X-095</t>
  </si>
  <si>
    <t>V5S-186</t>
  </si>
  <si>
    <t>V1H-950</t>
  </si>
  <si>
    <t>V6G-486</t>
  </si>
  <si>
    <t>BUENDIA GOMEZ DELIA</t>
  </si>
  <si>
    <t>SUPO SANTILLAN KIMBERLY YESENIA</t>
  </si>
  <si>
    <t>APAZA VIZA FREDY</t>
  </si>
  <si>
    <t>BELTRAN SANCHEZ YANET</t>
  </si>
  <si>
    <t>MATIENZO BELTRAN JOSSELYN</t>
  </si>
  <si>
    <t>JERONIMO MONTESISNOS ROQUE</t>
  </si>
  <si>
    <t>LACACTA HUAYCHO CARLOTA</t>
  </si>
  <si>
    <t>ALANOCA PUMA YOSELYN</t>
  </si>
  <si>
    <t>QUISPE MEDINA JEAN CARLO</t>
  </si>
  <si>
    <t>CANAZA QUISPE MARILUZ</t>
  </si>
  <si>
    <t>ZABALA HANCCOCCALLO ADRIEL</t>
  </si>
  <si>
    <t>QUISPE RIVERA WILLIAN</t>
  </si>
  <si>
    <t>APAZA MANTILLA JESSICA</t>
  </si>
  <si>
    <t>HUILLCA ALVAREZ GRELIA</t>
  </si>
  <si>
    <t>HUISA ACHINQUIPA RODOLFO</t>
  </si>
  <si>
    <t>CALACHUA ANCO ANA MARIA</t>
  </si>
  <si>
    <t>VALERO CONDORI LEONCIA TOEDORA</t>
  </si>
  <si>
    <t>HUAMAN NEYRA MARIMAR</t>
  </si>
  <si>
    <t>PAUCAR CAHUANA DIEGO</t>
  </si>
  <si>
    <t>CAHUINA CHAMBI VALENTINA</t>
  </si>
  <si>
    <t>FEBRES YATACO SONIO</t>
  </si>
  <si>
    <t>AMANQUI MAMANI VIRGINIA</t>
  </si>
  <si>
    <t>QUISPE APAZA LUIS</t>
  </si>
  <si>
    <t>LEON QUISPE HILDA</t>
  </si>
  <si>
    <t>CONDORI ALFERES MARILYN</t>
  </si>
  <si>
    <t>ALANOCA PUMA LUCIANA</t>
  </si>
  <si>
    <t>PUMA VILCA VIRGINIA</t>
  </si>
  <si>
    <t>CARBAJAL RODRIGUEZ ALEJANDRO MIRCO</t>
  </si>
  <si>
    <t>RODRIGUEZ CASO JUAN ANDRE</t>
  </si>
  <si>
    <t>YANQUI MUCHICA BRANDO MARCOS</t>
  </si>
  <si>
    <t>VARGAS JACOBO DE PALOMINO EMNILIA MODESTA</t>
  </si>
  <si>
    <t>APAZA SALAZAR DE LARICO FERMINA</t>
  </si>
  <si>
    <t>MERMA LUNA INES</t>
  </si>
  <si>
    <t>CAMARGO CCAHUANA ROXANA BELINDA</t>
  </si>
  <si>
    <t>MAMANI CAHUANA VIANEY PILAR</t>
  </si>
  <si>
    <t>MAMANI MAMANI EFRAIN EDGAR</t>
  </si>
  <si>
    <t>LEON LLOSA SANTOS</t>
  </si>
  <si>
    <t>MAMAMNI CHIPANA STEVEN JORGE</t>
  </si>
  <si>
    <t>QUISPE SUCLLE HIDALGO</t>
  </si>
  <si>
    <t>CUSI HUARANCA FAVIOLA SARA</t>
  </si>
  <si>
    <t>CABANA ALARCON XIMENA DEYANIRA</t>
  </si>
  <si>
    <t>LOPEZ DIAZ GINO CHRISTIAN</t>
  </si>
  <si>
    <t>BENAVIDES BENAVENTE JRGE</t>
  </si>
  <si>
    <t>CHAVEZ ELVA EPIFANIA</t>
  </si>
  <si>
    <t>CARDEÑA CUNO NILDA</t>
  </si>
  <si>
    <t>CHIPANA CARDEÑA MAYRA</t>
  </si>
  <si>
    <t>CHIPANA CARDEÑA MARYORI</t>
  </si>
  <si>
    <t>CALACHUA CNDORI HERBER SAMUEL</t>
  </si>
  <si>
    <t>AREQUPA-AREQUIPA</t>
  </si>
  <si>
    <t>AREQUIA-AREQUIPA</t>
  </si>
  <si>
    <t>V4W-545</t>
  </si>
  <si>
    <t>D6L-799</t>
  </si>
  <si>
    <t>V2W-123</t>
  </si>
  <si>
    <t>V5K-385</t>
  </si>
  <si>
    <t>V2D-074</t>
  </si>
  <si>
    <t>V7H-371</t>
  </si>
  <si>
    <t>C9Y-618</t>
  </si>
  <si>
    <t>V7X-492</t>
  </si>
  <si>
    <t>W16-773</t>
  </si>
  <si>
    <t>V8D-003</t>
  </si>
  <si>
    <t>V3C-620</t>
  </si>
  <si>
    <t>V5Q-636</t>
  </si>
  <si>
    <t>V9F-848</t>
  </si>
  <si>
    <t>V3O-494</t>
  </si>
  <si>
    <t>4604-5S</t>
  </si>
  <si>
    <t>V7T-310</t>
  </si>
  <si>
    <t>V3N-212</t>
  </si>
  <si>
    <t>V3K-371</t>
  </si>
  <si>
    <t>V2Y-022</t>
  </si>
  <si>
    <t>V6I-329</t>
  </si>
  <si>
    <t>V4Z-480</t>
  </si>
  <si>
    <t>AHP-942</t>
  </si>
  <si>
    <t>V7D-894</t>
  </si>
  <si>
    <t>V5L-194</t>
  </si>
  <si>
    <t>V3V-279</t>
  </si>
  <si>
    <t>A4A-477</t>
  </si>
  <si>
    <t>V2S-581</t>
  </si>
  <si>
    <t>V8A-235</t>
  </si>
  <si>
    <t>PALOMINO FLORES MOISES</t>
  </si>
  <si>
    <t>LLUCATI LAURA JOSE CARLO</t>
  </si>
  <si>
    <t>PALOMINO FLORES LUCIA</t>
  </si>
  <si>
    <t>ALEMAN MANCILLA FATIMA</t>
  </si>
  <si>
    <t>TACCO AVIEGA ANDERSON BRAYAN</t>
  </si>
  <si>
    <t>CCHOQQUE PACCO  RODOLFO</t>
  </si>
  <si>
    <t>CONDORI ALFARO CARMEN MILAGROS</t>
  </si>
  <si>
    <t>MEZA CERNA LUISA VERONICA</t>
  </si>
  <si>
    <t>TAPIA MOTTA MONICA</t>
  </si>
  <si>
    <t>ZUÑIGA HUAMANI EDY</t>
  </si>
  <si>
    <t>APAZA QUISPE GREGORIA EDMER</t>
  </si>
  <si>
    <t>YANA LAGUNA EDITH</t>
  </si>
  <si>
    <t>MOSCOSO DIAZ JUAN VICTOR</t>
  </si>
  <si>
    <t>JIMENEZ CALDERON YHAIR HANS</t>
  </si>
  <si>
    <t>ENRIQUEZ ALDAZABAL JULIO CESAR</t>
  </si>
  <si>
    <t>SALAZAR HERRERA NANCY</t>
  </si>
  <si>
    <t>QUISPE SALAZAR DIANA</t>
  </si>
  <si>
    <t>CACYA LLACHO JOHAN ULISES</t>
  </si>
  <si>
    <t>ROMERO PHOCCO MOISES LUIS</t>
  </si>
  <si>
    <t>SANCHEZ DEL AGUILA VANESSA</t>
  </si>
  <si>
    <t>ROMERO SANCHEZ BARBARA ALEJANDRA</t>
  </si>
  <si>
    <t>ORTIZ PAZ LORENA ANDREA</t>
  </si>
  <si>
    <t>CENTENO ANCO MELANY</t>
  </si>
  <si>
    <t>CALAPUJA LURITA YEFRY PIERICO</t>
  </si>
  <si>
    <t>CUEVA MOTTA PEDRO JUVENAL</t>
  </si>
  <si>
    <t>MAMANI LOAYZA YANMILI</t>
  </si>
  <si>
    <t>DUEÑAS ALVARADO ROSA</t>
  </si>
  <si>
    <t>AGUILA DUEÑAS ALEJANDRO</t>
  </si>
  <si>
    <t>OCHOCHOQUE INOFUENTE MIGDONIO</t>
  </si>
  <si>
    <t>HUAMANI COLQUE FELIX GREGORIO</t>
  </si>
  <si>
    <t>RATH CASTRO GIMENA</t>
  </si>
  <si>
    <t>ROCHA GUZMAN MIGUEL</t>
  </si>
  <si>
    <t>PIZARRO LASTARRIA RENZO</t>
  </si>
  <si>
    <t>CHAMBI PARI ALEJANDRO</t>
  </si>
  <si>
    <t>FLORES SAMOS NAIME NICOLE</t>
  </si>
  <si>
    <t>RONDON VELASQUEZ MARI</t>
  </si>
  <si>
    <t>ESTEFANERO CALCINA XIOMARA</t>
  </si>
  <si>
    <t>MENDIZABAL CASTILLO ALVARO</t>
  </si>
  <si>
    <t>MONTOYA BAZAN DIEGO MILTON</t>
  </si>
  <si>
    <t>AGUILAR ZENTENO ROSALI</t>
  </si>
  <si>
    <t>CHANCATUMA ARCE BRIGITTE DAYANA</t>
  </si>
  <si>
    <t>MAQUE TORRES JAVIER</t>
  </si>
  <si>
    <t>V3O-028</t>
  </si>
  <si>
    <t>V7Z-270</t>
  </si>
  <si>
    <t>Z1J-775</t>
  </si>
  <si>
    <t>V3D-680</t>
  </si>
  <si>
    <t>V5X-062</t>
  </si>
  <si>
    <t>Z3G-732</t>
  </si>
  <si>
    <t>V3E-268</t>
  </si>
  <si>
    <t>C9K-329</t>
  </si>
  <si>
    <t>V5G-111</t>
  </si>
  <si>
    <t>4203-1F</t>
  </si>
  <si>
    <t>V1I-701</t>
  </si>
  <si>
    <t>B3O-569</t>
  </si>
  <si>
    <t>D4C-796</t>
  </si>
  <si>
    <t>V4I-428</t>
  </si>
  <si>
    <t>C1O-693</t>
  </si>
  <si>
    <t>V1Z-284</t>
  </si>
  <si>
    <t>HUANCA MAMANI GUISELA</t>
  </si>
  <si>
    <t>YANQUE MAMANI CESAR AUGUSTO</t>
  </si>
  <si>
    <t>QUISPE CARRASCO TANIA ANDREA</t>
  </si>
  <si>
    <t>ANDAHUA ANASTACIO EDGAR ANIBAL</t>
  </si>
  <si>
    <t>FLORES SALAS PRIMITIVO</t>
  </si>
  <si>
    <t>RUIZ PARINA JUAN</t>
  </si>
  <si>
    <t>BELIZARIO SUCASACA JUAN ELOY</t>
  </si>
  <si>
    <t>DIAZ CONDORI FERNANDA</t>
  </si>
  <si>
    <t>VALDIVIA CHAVEZ ALBERTO</t>
  </si>
  <si>
    <t>MAYORIA CATACORA CESAR ALEJANDRO</t>
  </si>
  <si>
    <t>RODRIGUEZ SALAZAR SILVANA</t>
  </si>
  <si>
    <t>TAMO VALDERRAMA PEDRO JULIO</t>
  </si>
  <si>
    <t>MAMANI MAMANI DIEGO ARMANDO</t>
  </si>
  <si>
    <t>TOLENTINO MENDOZA GUILIANA CONSUELO</t>
  </si>
  <si>
    <t>VENERO TOLENTINO LUCIANA CAMILA</t>
  </si>
  <si>
    <t>LUQUE VASQUEZ OLGA GUILIANA</t>
  </si>
  <si>
    <t>MARQUEZ QUISPISIVANA NEMECIO</t>
  </si>
  <si>
    <t>CHOQUE MONCADA LEIDY</t>
  </si>
  <si>
    <t>CRUZ SIMONA</t>
  </si>
  <si>
    <t>ARIAS CHOQUE ANTONIO VICTOR</t>
  </si>
  <si>
    <t>INFANTES DE CASTAÑEDA MIRIAN</t>
  </si>
  <si>
    <t>ESPETIA MONTALICO CESAR SAMUEL</t>
  </si>
  <si>
    <t>OROCPAMPA CASTILLA</t>
  </si>
  <si>
    <t>Z1Z-115</t>
  </si>
  <si>
    <t>Z4O-353</t>
  </si>
  <si>
    <t>V7Q-025</t>
  </si>
  <si>
    <t>V3Y-236</t>
  </si>
  <si>
    <t>F1V-349</t>
  </si>
  <si>
    <t>V8K-317</t>
  </si>
  <si>
    <t>V8W-16</t>
  </si>
  <si>
    <t>V4A-187</t>
  </si>
  <si>
    <t>V2J-43</t>
  </si>
  <si>
    <t>V7Y873</t>
  </si>
  <si>
    <t>CARDENAS PALACIO DE MILAN MILAGROS</t>
  </si>
  <si>
    <t>MITON CARDENAS EMANUEL ALEJANDRO</t>
  </si>
  <si>
    <t>BENAVENTE SALAS ANA MARIA</t>
  </si>
  <si>
    <t>SANCHEZ BENAVENTE CARLOS JAVIER</t>
  </si>
  <si>
    <t>VELASQUEZ CARI RUFINO</t>
  </si>
  <si>
    <t>DELGADO SALAS PAUL ENRIQUE</t>
  </si>
  <si>
    <t>LAUREANO ESPINOZA ESTEBAN</t>
  </si>
  <si>
    <t>ORTIZ CRUZ CARMEN YOLANDA</t>
  </si>
  <si>
    <t>GUTIERREZ CHAVEZ JUAN</t>
  </si>
  <si>
    <t>VALDIVIA SILVANA ALEJANDRA</t>
  </si>
  <si>
    <t>GALLEGOS ARHUANCA DENALY</t>
  </si>
  <si>
    <t>HERRERA NAJAR YLEANA</t>
  </si>
  <si>
    <t>GOMEZ CASTRO KATHERINE MILAGROS</t>
  </si>
  <si>
    <t>VILCAPAZA PINTO CARLOS</t>
  </si>
  <si>
    <t>SULLA YAURI  ROXANA YANET</t>
  </si>
  <si>
    <t>DAVILA VILCA RICHARD</t>
  </si>
  <si>
    <t>MALAGA PAZ  LUZ MARINA</t>
  </si>
  <si>
    <t>RAMIREZ VARGAS ANTONIO</t>
  </si>
  <si>
    <t>OJEDA MALAGA MARYOLI ARIANA</t>
  </si>
  <si>
    <t>V1J-184</t>
  </si>
  <si>
    <t>V6T-152</t>
  </si>
  <si>
    <t>COYLA CARPIO SAIDA MARIBEL</t>
  </si>
  <si>
    <t>SZSZCPANSKI COYLA ESTEBAN RAFAEL</t>
  </si>
  <si>
    <t>V5D-534</t>
  </si>
  <si>
    <t>RAMOS AGUIRRE PERCY</t>
  </si>
  <si>
    <t>V5Y-663</t>
  </si>
  <si>
    <t>GUEVARA SALAZAR TAMARA</t>
  </si>
  <si>
    <t>GUEVARA MARTINEZ DANIEL</t>
  </si>
  <si>
    <t>V4F-519</t>
  </si>
  <si>
    <t>ZELA QUISPE IVAN JESUS</t>
  </si>
  <si>
    <t>Z4K-578</t>
  </si>
  <si>
    <t>FLORES MACEDO FANNY GEOVAA</t>
  </si>
  <si>
    <t>U2R-415</t>
  </si>
  <si>
    <t>PERLACIO COAGUILA KEY ALISON</t>
  </si>
  <si>
    <t>ARONI PELACIO LIA FERNANDO</t>
  </si>
  <si>
    <t>ARONI PERLACIO BRAYAN</t>
  </si>
  <si>
    <t>COAGUILA CORNEJO CELESTINO</t>
  </si>
  <si>
    <t>APAZA QUISPE DIONISIO</t>
  </si>
  <si>
    <t>V2K-037</t>
  </si>
  <si>
    <t>V4I-600</t>
  </si>
  <si>
    <t>ALVAREZ CORIMANYA DANIEL CARLOS</t>
  </si>
  <si>
    <t>V4Y-174</t>
  </si>
  <si>
    <t>ROJAS HUMPIRI BRISSA LEDJANE</t>
  </si>
  <si>
    <t>V8E-343</t>
  </si>
  <si>
    <t>V3U-043</t>
  </si>
  <si>
    <t>QUISPE CAZASOLA MARCELINO</t>
  </si>
  <si>
    <t>TULA VEGA ADIEL</t>
  </si>
  <si>
    <t>V5U-174</t>
  </si>
  <si>
    <t>V6R-103</t>
  </si>
  <si>
    <t>SAL Y ROSAS VALVERDE</t>
  </si>
  <si>
    <t>V9B-743</t>
  </si>
  <si>
    <t>FLORES SOTOMAYOR ERICK TAYSON</t>
  </si>
  <si>
    <t>V5X-136</t>
  </si>
  <si>
    <t>CARDENAS ARIAS NELVI</t>
  </si>
  <si>
    <t>CHOQUE ALCAHUAMAN PIO HILARIO</t>
  </si>
  <si>
    <t>OJEDA ALVAREZ CESAR</t>
  </si>
  <si>
    <t>X1B-035</t>
  </si>
  <si>
    <t>V8A-160</t>
  </si>
  <si>
    <t>ORTIZ VILCAZAM ELIZABETH</t>
  </si>
  <si>
    <t>RODRIGUEZ ZUÑIGA PEGGY HELLEN</t>
  </si>
  <si>
    <t>V6H-589</t>
  </si>
  <si>
    <t>MARIN DE LA CRUZ JUAN</t>
  </si>
  <si>
    <t>V2E-561</t>
  </si>
  <si>
    <t>SUCASACA DE HILASACA DOMINGA</t>
  </si>
  <si>
    <t>C4I-793</t>
  </si>
  <si>
    <t>ROSALES GONZALES ANITA</t>
  </si>
  <si>
    <t>VILLAVICENCIO YEPEZ MAGGIE ALEJANDRA</t>
  </si>
  <si>
    <t>U2A-769</t>
  </si>
  <si>
    <t>A3L-798</t>
  </si>
  <si>
    <t>C3E-380</t>
  </si>
  <si>
    <t>CANAZA ROJAS DIANA MODESTA</t>
  </si>
  <si>
    <t>HERRERA VEGA CARLOS PAUL</t>
  </si>
  <si>
    <t>VILLA PUMACALLA EDWIN RAFAEL</t>
  </si>
  <si>
    <t>ZOLORZANO QUISPE JULIA ROSA</t>
  </si>
  <si>
    <t>BENITO ZOLORZANO GEREMI</t>
  </si>
  <si>
    <t>CALLIHAPA ROBLES GEORGINA</t>
  </si>
  <si>
    <t>V1M-721</t>
  </si>
  <si>
    <t>SUASACA CHAMBI EERLY</t>
  </si>
  <si>
    <t>QUISPE QUIRO ROMAN</t>
  </si>
  <si>
    <t>SUASACA CAMBI FERNANDA</t>
  </si>
  <si>
    <t>DIAZ QUITANILLA LUCAS</t>
  </si>
  <si>
    <t>CASANI ARANIVAR ALVARO</t>
  </si>
  <si>
    <t>RIVERA CAHUANA MARICARMEN</t>
  </si>
  <si>
    <t>TAIPE MENDOZA JULIO</t>
  </si>
  <si>
    <t>HANCCO MACEDO HERMENGILDA YAMILA</t>
  </si>
  <si>
    <t>SAAVEDRA ANCCO MAIKOL</t>
  </si>
  <si>
    <t>TAIPE ANCCO YAMILA</t>
  </si>
  <si>
    <t>YANQUE SUASACCA TAMIRA</t>
  </si>
  <si>
    <t>CRUZ IDME RUDY</t>
  </si>
  <si>
    <t>CRUZ FLORES MARGARITA</t>
  </si>
  <si>
    <t>SALAS MANCHEGO JESUS</t>
  </si>
  <si>
    <t>V1G-651</t>
  </si>
  <si>
    <t>OBANDO PAJUELO PAUL</t>
  </si>
  <si>
    <t>PRECIADO FLORIANA JOAO</t>
  </si>
  <si>
    <t>HINOSTROZA DE LA O MIRIAN</t>
  </si>
  <si>
    <t>PUMALEQUE HANCCO JOSE</t>
  </si>
  <si>
    <t>V3B-325</t>
  </si>
  <si>
    <t>CUELLAR CAYO LUIS MILGUER</t>
  </si>
  <si>
    <t>FLORES BOLIVAR NICANOR</t>
  </si>
  <si>
    <t xml:space="preserve">MARTINEZ CRUZ MANUEL </t>
  </si>
  <si>
    <t>A6G-607</t>
  </si>
  <si>
    <t>A8Q-156</t>
  </si>
  <si>
    <t>LARIZO YAURI RODRIGO CRISTHIAN</t>
  </si>
  <si>
    <t>APAZA MAMANI MARIANO</t>
  </si>
  <si>
    <t>X2Y-630</t>
  </si>
  <si>
    <t>V5F-007</t>
  </si>
  <si>
    <t>SIÑA BEJAR JOAO VICTOR</t>
  </si>
  <si>
    <t>V5L-046</t>
  </si>
  <si>
    <t>AYALA  HUAYTAPUMA TERESA</t>
  </si>
  <si>
    <t>HURTADO BARRIENTO BONIFACIO</t>
  </si>
  <si>
    <t>F2Q-941</t>
  </si>
  <si>
    <t>VALLADARES DIAZ ELOY</t>
  </si>
  <si>
    <t>CHILI GAMARRA EUSEBIO</t>
  </si>
  <si>
    <t>V5C-147</t>
  </si>
  <si>
    <t>PEREZ VITAINO SOLANGE</t>
  </si>
  <si>
    <t>C1B-364</t>
  </si>
  <si>
    <t>CHAIÑA MONTAÑEZ JUDITH</t>
  </si>
  <si>
    <t>CARI CACERES CARLOS</t>
  </si>
  <si>
    <t>Z6H-831</t>
  </si>
  <si>
    <t>U2D-644</t>
  </si>
  <si>
    <t>CARDENAS DIAZ YEISON</t>
  </si>
  <si>
    <t>CHIRE QUISPE AVELINA</t>
  </si>
  <si>
    <t>ZEBALLOS ZEBALLOS  MARIA</t>
  </si>
  <si>
    <t>APAZA FERNANDEZ VLADIMIR</t>
  </si>
  <si>
    <t>U6D-669</t>
  </si>
  <si>
    <t>CALCINA MOROCCO ADELMA</t>
  </si>
  <si>
    <t>FERNANDEZ NIETO IVONE</t>
  </si>
  <si>
    <t>FLORES VILCA SAUL</t>
  </si>
  <si>
    <t>CHAVEZ ARENAS  MILAGROS</t>
  </si>
  <si>
    <t>CANDIA QUISPE LUZ</t>
  </si>
  <si>
    <t>QUISPE TURPO ZORAIDA</t>
  </si>
  <si>
    <t>CHIPANA CCORA NORA</t>
  </si>
  <si>
    <t>Z2H-053</t>
  </si>
  <si>
    <t>F4J-397</t>
  </si>
  <si>
    <t>AUK-749</t>
  </si>
  <si>
    <t>V1X-026</t>
  </si>
  <si>
    <t>V5V-685</t>
  </si>
  <si>
    <t>Z1K-783</t>
  </si>
  <si>
    <t>Z1K783</t>
  </si>
  <si>
    <t>AGUIRRE RAMOS MAURA</t>
  </si>
  <si>
    <t>ARTEAGA VALDIVIA FELICITAS</t>
  </si>
  <si>
    <t>MAHANEY VARGAS DORIS</t>
  </si>
  <si>
    <t>ROJAS DE JIMENEZ VALERIANA</t>
  </si>
  <si>
    <t>MERMA PAULO JULIO</t>
  </si>
  <si>
    <t>RODRIGUEZ ATOCHE GLORIA</t>
  </si>
  <si>
    <t>V7R-549</t>
  </si>
  <si>
    <t>MANRIQUE SALAZAR ATIRSON</t>
  </si>
  <si>
    <t>DELGADO PALACIO JUAN VITADINO</t>
  </si>
  <si>
    <t>V3K-451</t>
  </si>
  <si>
    <t>ARIAS QUISPE ANA MARIA</t>
  </si>
  <si>
    <t>V7U-959</t>
  </si>
  <si>
    <t>BEGAZO VALVERDE CATALINA ALICIA</t>
  </si>
  <si>
    <t>V5C-255</t>
  </si>
  <si>
    <t>VENTURA HUIRSE RENE</t>
  </si>
  <si>
    <t>Z5Y-760</t>
  </si>
  <si>
    <t>CAHUANA VILLENA ALICIA</t>
  </si>
  <si>
    <t>SICOS ALMANZA DINA</t>
  </si>
  <si>
    <t>V6F-300</t>
  </si>
  <si>
    <t>HUARCA LOPEZ CARLOS ALBERTO</t>
  </si>
  <si>
    <t>V3E-437</t>
  </si>
  <si>
    <t>GUILLEN TICONA LUIS ERNESTO</t>
  </si>
  <si>
    <t>V5E-110</t>
  </si>
  <si>
    <t>HUALLPA CURASI BRUSS</t>
  </si>
  <si>
    <t>AHQ-884</t>
  </si>
  <si>
    <t>VIDAL RAMOS CAROLINA</t>
  </si>
  <si>
    <t>VALENCIA VIDAL LIAM</t>
  </si>
  <si>
    <t>HUAMANI LAYZA CHRISTIAN</t>
  </si>
  <si>
    <t>MAYTA QUISPE JOSE WASHINGTON</t>
  </si>
  <si>
    <t>PAREDES PALOMINO ADRIAN ANTONIO</t>
  </si>
  <si>
    <t>2828-6M</t>
  </si>
  <si>
    <t>CCACCYA ULARTE RONALDO</t>
  </si>
  <si>
    <t>MAMANI SONCCO ANTONIO</t>
  </si>
  <si>
    <t>Z4E-082</t>
  </si>
  <si>
    <t>V3L-412</t>
  </si>
  <si>
    <t>5027-8C</t>
  </si>
  <si>
    <t>U3Z-727</t>
  </si>
  <si>
    <t>V1A-084</t>
  </si>
  <si>
    <t>A6P-726</t>
  </si>
  <si>
    <t>Z6L-830</t>
  </si>
  <si>
    <t>V9C-890</t>
  </si>
  <si>
    <t>V3U-397</t>
  </si>
  <si>
    <t>M0-0749</t>
  </si>
  <si>
    <t>MAMANI ANCCO CRISTIAN ESTEVAN</t>
  </si>
  <si>
    <t>ESTRADA SALINAS LUIS</t>
  </si>
  <si>
    <t>MESTAS PAJA JUDITH</t>
  </si>
  <si>
    <t>LOPEZ ROSPIGLIOSI MARYLITH</t>
  </si>
  <si>
    <t>SALAS LUNA LUIS ENRIQUE</t>
  </si>
  <si>
    <t>FLORES PINO MILAGROS</t>
  </si>
  <si>
    <t>RAMIREZ BENGOA JUAN PABLO</t>
  </si>
  <si>
    <t>LETICIA QUISPE TITO</t>
  </si>
  <si>
    <t>LEON BUSTAMANTE DUBERLY</t>
  </si>
  <si>
    <t>ARONI HUAYHUA FIDEL ALBERTO</t>
  </si>
  <si>
    <t>V8J-083</t>
  </si>
  <si>
    <t>D8I-594</t>
  </si>
  <si>
    <t>V5B-629</t>
  </si>
  <si>
    <t>V7E-303</t>
  </si>
  <si>
    <t>V4I-494</t>
  </si>
  <si>
    <t>V6J-359</t>
  </si>
  <si>
    <t>CUTI YAURI VERONICA ELIZABETH</t>
  </si>
  <si>
    <t>TRUJILLANO APAZA THIAGO ARTURO</t>
  </si>
  <si>
    <t>LOAYZA SALAS VIOLETA</t>
  </si>
  <si>
    <t>AROQUIPA HUAMANTUMA ERNESTO</t>
  </si>
  <si>
    <t>BARRIOS AROQUIPA AARON</t>
  </si>
  <si>
    <t>BARRIOS AROQUIPA CAMILA</t>
  </si>
  <si>
    <t>TACAR CAHUANA MIGUELINA</t>
  </si>
  <si>
    <t>HUANCA CHURA NORCA ALICIA</t>
  </si>
  <si>
    <t>SANDOVAL MEJIA AMANDA</t>
  </si>
  <si>
    <t>ALCASIHUINCHA C. MARCO ANTONIO</t>
  </si>
  <si>
    <t>DELGADO AGUILAR ELIZABETH</t>
  </si>
  <si>
    <t>LAJO AYA MARICELA</t>
  </si>
  <si>
    <t>6416-1V</t>
  </si>
  <si>
    <t>VELASCO VERA MERI NATIVIDAD</t>
  </si>
  <si>
    <t>B1L-152</t>
  </si>
  <si>
    <t>MUÑOZ LLERENA RAIMUNDO JAVIER</t>
  </si>
  <si>
    <t>C5O-325</t>
  </si>
  <si>
    <t>ARIAS LAYME ARIANA</t>
  </si>
  <si>
    <t>C9X-696</t>
  </si>
  <si>
    <t>ALVAREZ IQUIAPAZA BEATRIZ FLORA</t>
  </si>
  <si>
    <t>Y1Q-505</t>
  </si>
  <si>
    <t>V7Q-262</t>
  </si>
  <si>
    <t>ANDRADE AMBROCIO DINIZ</t>
  </si>
  <si>
    <t>V5Y-339</t>
  </si>
  <si>
    <t>VALDIVIA PERALTA ZENON</t>
  </si>
  <si>
    <t>V5T-240</t>
  </si>
  <si>
    <t>AYCHO RAMIREZ ALEXIA VALENTINA</t>
  </si>
  <si>
    <t>TTITO AYCHO FERNANDA</t>
  </si>
  <si>
    <t>RAMIREZ RAMOS MILE DANESA</t>
  </si>
  <si>
    <t>GUTIERREZ DUEÑAS GLORIA PAULINA</t>
  </si>
  <si>
    <t>MONTAÑA GUTIERREZ JUANA DEYSI</t>
  </si>
  <si>
    <t>AYCHO GUTIERREZ JESUS MARIA</t>
  </si>
  <si>
    <t>V7T-935</t>
  </si>
  <si>
    <t>V7R-520</t>
  </si>
  <si>
    <t>GONZALES CARDENAS ZOILA VICTORIA</t>
  </si>
  <si>
    <t>A5A-735</t>
  </si>
  <si>
    <t>HUANCA CONDORI RUTH</t>
  </si>
  <si>
    <t>SILVA SALAZAR BRADY</t>
  </si>
  <si>
    <t>V2Y-399</t>
  </si>
  <si>
    <t>DUEÑAS OLMEDO URSULA CARLA</t>
  </si>
  <si>
    <t>HUAYHUACURI CHIPA SAMUEL SILVESTRE</t>
  </si>
  <si>
    <t>4318-FM</t>
  </si>
  <si>
    <t>VILLAHERMOSA QUISPE PEDRO MANUEL</t>
  </si>
  <si>
    <t>Z2R-750</t>
  </si>
  <si>
    <t>VICTORIO MARQUEZ HECTOR FABRICIO</t>
  </si>
  <si>
    <t>ANCCO YANARICO JIMMY JHOSMANY</t>
  </si>
  <si>
    <t>ZEBALLOS GARCIA ADRIANA</t>
  </si>
  <si>
    <t>RONDON FLORES PAULO</t>
  </si>
  <si>
    <t>ARAPA CCARI JOSE LUIS</t>
  </si>
  <si>
    <t>ARPI LAURA MARY LUZ</t>
  </si>
  <si>
    <t>ZARATE BELLIDO YOLANDA</t>
  </si>
  <si>
    <t>PECCALAYCO QUIRISTA WILLIAM FREDY</t>
  </si>
  <si>
    <t>AMAT CALDERON ANTONIO</t>
  </si>
  <si>
    <t>V5T-078</t>
  </si>
  <si>
    <t>V6K-254</t>
  </si>
  <si>
    <t>V3Z-041</t>
  </si>
  <si>
    <t>C3N-574</t>
  </si>
  <si>
    <t>V3T-539</t>
  </si>
  <si>
    <t>V6D-478</t>
  </si>
  <si>
    <t>V1Y-051</t>
  </si>
  <si>
    <t>V2C-270</t>
  </si>
  <si>
    <t>F5V-270</t>
  </si>
  <si>
    <t>APAZA CHULLO OLGA</t>
  </si>
  <si>
    <t>FLORES YUCRA HERMITANIO</t>
  </si>
  <si>
    <t>V5R-177</t>
  </si>
  <si>
    <t>V5Z-612</t>
  </si>
  <si>
    <t>AÑARI SANTOYO ALDO</t>
  </si>
  <si>
    <t>MENDOZA GRANDA PASCUALA CONSUELO</t>
  </si>
  <si>
    <t>BRICEÑO VILDOSO PEDRO</t>
  </si>
  <si>
    <t>CHACON VILCA MARTHA ELIZABETH</t>
  </si>
  <si>
    <t>PORTILLA CHACON NICOLE ELIZABETH</t>
  </si>
  <si>
    <t>V3Q-594</t>
  </si>
  <si>
    <t>V5Z-277</t>
  </si>
  <si>
    <t>HUACAN HUANCA EDSON JOSUE</t>
  </si>
  <si>
    <t>PINO DELGADO STEPHANIE PAOLA</t>
  </si>
  <si>
    <t>V1N-703</t>
  </si>
  <si>
    <t>V1Z-414</t>
  </si>
  <si>
    <t>LINARES GARCIA EVELYN</t>
  </si>
  <si>
    <t>RONDON FUENTES RENATO</t>
  </si>
  <si>
    <t>LIMACHE ACERO SILVIA</t>
  </si>
  <si>
    <t>MAYHUA LOAYZA SILVIA</t>
  </si>
  <si>
    <t>HUARAYA PAMPAMALLCO CARMEN</t>
  </si>
  <si>
    <t>ANTEZANA QUISPE NORA</t>
  </si>
  <si>
    <t>RODRIGUEZ BEGAZO GONZALO</t>
  </si>
  <si>
    <t>CONDORI HUACASI DIANA CAROLINA</t>
  </si>
  <si>
    <t>CABRERA BOLIVAR ANYELA ORIANA</t>
  </si>
  <si>
    <t>V6C-678</t>
  </si>
  <si>
    <t>AMESQUITA VELASQUEZ LUCIANO</t>
  </si>
  <si>
    <t xml:space="preserve">LLERENA MEDINA ANGELICA </t>
  </si>
  <si>
    <t>AMESQUITA LLERENA SILVIA</t>
  </si>
  <si>
    <t>VELASQUEZ VERTIZ ESTELA</t>
  </si>
  <si>
    <t>LOAYZA BARRIOS JULIAN</t>
  </si>
  <si>
    <t>V5M-164</t>
  </si>
  <si>
    <t>D2W-024</t>
  </si>
  <si>
    <t>V2R-679</t>
  </si>
  <si>
    <t>V3Q-500</t>
  </si>
  <si>
    <t>V3S-467</t>
  </si>
  <si>
    <t>V3Y-390</t>
  </si>
  <si>
    <t>MAMANI SUAÑA JUAN LUCIANO</t>
  </si>
  <si>
    <t>MEZA MAMANI NARCISA</t>
  </si>
  <si>
    <t>QUILCA CASTILLO MARIELA FELICITAS</t>
  </si>
  <si>
    <t>ORTIZ PAZ FIORELA</t>
  </si>
  <si>
    <t>CAHUANA RAMOS ANA</t>
  </si>
  <si>
    <t>ORIHUELA GARATE MIKA</t>
  </si>
  <si>
    <t>QUISPE ENRIQUEZ MARIA SALOME</t>
  </si>
  <si>
    <t>RAMIREZ PANIHUA BLADIMIR</t>
  </si>
  <si>
    <t>LLERENA GUTIERREZ JAQUELINE</t>
  </si>
  <si>
    <t>CHAVEZ HINOSTROZA ROBERTO</t>
  </si>
  <si>
    <t>CATACORA SALAZAR ROCIO</t>
  </si>
  <si>
    <t>LUQUE ZARATE JIMENA</t>
  </si>
  <si>
    <t>TORRES ESPINOZA SALOME</t>
  </si>
  <si>
    <t>SANCHEZ HUAYTA JONAS</t>
  </si>
  <si>
    <t>V2J-072</t>
  </si>
  <si>
    <t>V6D-102</t>
  </si>
  <si>
    <t>V1C-666</t>
  </si>
  <si>
    <t>VILCA QUISPE FLOR</t>
  </si>
  <si>
    <t>SALINAS UGARTE YEFERSON</t>
  </si>
  <si>
    <t>TRELLES YUCRA LEIDI DIANA</t>
  </si>
  <si>
    <t>MACHACA CCACCA PEDRO</t>
  </si>
  <si>
    <t>V6W-474</t>
  </si>
  <si>
    <t>8186-1D</t>
  </si>
  <si>
    <t>V5I-555</t>
  </si>
  <si>
    <t>A1H-793</t>
  </si>
  <si>
    <t>V6M-295</t>
  </si>
  <si>
    <t>V5H-366</t>
  </si>
  <si>
    <t>X2C-136</t>
  </si>
  <si>
    <t>PINEDO HIULLCA ELISEO</t>
  </si>
  <si>
    <t>MONTANCHEZ BOLAÑOS SEGUNDO</t>
  </si>
  <si>
    <t>DEL CARPIO RABANAL FLOR ROCIO</t>
  </si>
  <si>
    <t>HUARACHI RODRIGUEZ GUIDO JULIO</t>
  </si>
  <si>
    <t>VARGAS VASQUEZ ROLANDO</t>
  </si>
  <si>
    <t>TITO YTURRIAGA DARIO</t>
  </si>
  <si>
    <t>LLAIQUE CHILLO MARCOS</t>
  </si>
  <si>
    <t>A3V-732</t>
  </si>
  <si>
    <t>AAV-041</t>
  </si>
  <si>
    <t>V4Z-666</t>
  </si>
  <si>
    <t>V8S-752</t>
  </si>
  <si>
    <t>D6T-409</t>
  </si>
  <si>
    <t>1033-8B</t>
  </si>
  <si>
    <t>FLORES ZUÑIGA LINDA MARISEL</t>
  </si>
  <si>
    <t>SALAS FUENTES DUVALID</t>
  </si>
  <si>
    <t>ANDIA VERA ROSA</t>
  </si>
  <si>
    <t>QUISPETUPAC ARHUIRE GERMAN</t>
  </si>
  <si>
    <t>VILCA ACHO ROSA</t>
  </si>
  <si>
    <t>TINTA ESTRADA ZORAIDA</t>
  </si>
  <si>
    <t>SALAZAR COLLANTES ROSARIO</t>
  </si>
  <si>
    <t>ASTORGA SALAZAR MANUEL IGNACIO</t>
  </si>
  <si>
    <t>TORRES COAGUILA YANETH</t>
  </si>
  <si>
    <t>MANTILLA TORRES VALENTINA</t>
  </si>
  <si>
    <t>ZEBALLOS CERPA ARMANDO</t>
  </si>
  <si>
    <t>CCOPA QUISPE YERSON</t>
  </si>
  <si>
    <t>V6I-267</t>
  </si>
  <si>
    <t>V3D-450</t>
  </si>
  <si>
    <t>V8J-732</t>
  </si>
  <si>
    <t>D3F-663</t>
  </si>
  <si>
    <t>F9X-168</t>
  </si>
  <si>
    <t>CHARAJA ZEA JESUS ALFREDO</t>
  </si>
  <si>
    <t>SANDOVAL VALLEJOS DANGELO</t>
  </si>
  <si>
    <t>ALBERTO CALCINA JOSE</t>
  </si>
  <si>
    <t>URDAY SALAZAR NICOLAS</t>
  </si>
  <si>
    <t>GOSMA MERMA FRIEDA</t>
  </si>
  <si>
    <t>GUTIERREZ NOA JHON</t>
  </si>
  <si>
    <t>HINCHO MIRANO JULINHO</t>
  </si>
  <si>
    <t>MAMANI ADRIAZOLA RUFINA</t>
  </si>
  <si>
    <t>CRUZ YANCAPALLO JULY MAR</t>
  </si>
  <si>
    <t>V6K-632</t>
  </si>
  <si>
    <t>V2A-769</t>
  </si>
  <si>
    <t>V4O-461</t>
  </si>
  <si>
    <t>V5Q-352</t>
  </si>
  <si>
    <t>V1S-724</t>
  </si>
  <si>
    <t>V9A-385</t>
  </si>
  <si>
    <t>F0M-620</t>
  </si>
  <si>
    <t>LUCIO CORDOVA ESTEBAN</t>
  </si>
  <si>
    <t>VALLE PALMA AURELIO EMILIANO</t>
  </si>
  <si>
    <t>YUCRA APAZA JOAN MAIKELL</t>
  </si>
  <si>
    <t>HUAYTA CHURA CONSI</t>
  </si>
  <si>
    <t>ANCALLA HUAYTA RUTH</t>
  </si>
  <si>
    <t>ANCALLA HUAYTA YAMALI</t>
  </si>
  <si>
    <t>LOPEZ VIZCARRA PATRICIA</t>
  </si>
  <si>
    <t>CARPIO LOPEZ ANA</t>
  </si>
  <si>
    <t>GARCIA LOPEZ FROILAN RENATO</t>
  </si>
  <si>
    <t>CHURATA ZAPANA ALEJANDRO</t>
  </si>
  <si>
    <t>APAZA ZAMATA HAYDE</t>
  </si>
  <si>
    <t>LAYME CHACO FLOR NELIDA</t>
  </si>
  <si>
    <t xml:space="preserve">ARRIAGA GALLEGOS LUIS ALBERTO </t>
  </si>
  <si>
    <t>CHAMPI HUAYHUA  FERNANDO</t>
  </si>
  <si>
    <t>V1M-018</t>
  </si>
  <si>
    <t>ORTIZ CARCAUSTO IRENE</t>
  </si>
  <si>
    <t>BARRIONUEVO ORTIZ ALONDRA</t>
  </si>
  <si>
    <t>BARRIONUEVO ORTIZ EDER</t>
  </si>
  <si>
    <t>B4-9306</t>
  </si>
  <si>
    <t>HUANCA AROTAYPE AYDA</t>
  </si>
  <si>
    <t>CALCINA BENAVENTE PAQUITA VERONICA</t>
  </si>
  <si>
    <t>REVILLA FERNANDEZ GABRIELA</t>
  </si>
  <si>
    <t>GALLEGOS REVILLA FERNANDA</t>
  </si>
  <si>
    <t>HERRERA FERNANDEZ MARILIZ</t>
  </si>
  <si>
    <t>CORDOVA DOMINGUES YULY</t>
  </si>
  <si>
    <t>MUÑOZ NAJAR PEREA JOSE GUILLERMO</t>
  </si>
  <si>
    <t>TURPO HUACASI RONALD JHON</t>
  </si>
  <si>
    <t>LOAYZA HANCCO EDWIN</t>
  </si>
  <si>
    <t>QUISPE QUISPE YOBER</t>
  </si>
  <si>
    <t>LUQUE YAHUA DAVID ESTEBAN</t>
  </si>
  <si>
    <t>ZENTENO DIAZ MARY</t>
  </si>
  <si>
    <t>GUARDIA ZENTENO IGOR</t>
  </si>
  <si>
    <t>PARICAHUA DIAZ JORGE</t>
  </si>
  <si>
    <t>PARRA MARQUEZ YAHAIRA</t>
  </si>
  <si>
    <t>BERNAL CACERES YONNY FERMIN</t>
  </si>
  <si>
    <t>WASHUALDO GUZMAN PATRICIA ROMINA</t>
  </si>
  <si>
    <t>GUTIERREZ GUTIERREZ MARCO FELIPE</t>
  </si>
  <si>
    <t>BAUTISTA GARCIA MILUSKA</t>
  </si>
  <si>
    <t>DELGADO SOSA CARLOS GABRIEL</t>
  </si>
  <si>
    <t>VEGA CHAMA FIDEL</t>
  </si>
  <si>
    <t>CHOQUE TUNQUE YETSI ANDREA</t>
  </si>
  <si>
    <t>DIAZ PALOMINO LEONEL MARCO</t>
  </si>
  <si>
    <t>CORNEJO PUMA BYRON</t>
  </si>
  <si>
    <t>FELIPE BENEGAS DANILO YOVANI</t>
  </si>
  <si>
    <t>SACSI BENEGAS JHOSEP</t>
  </si>
  <si>
    <t>GUILLEN MENDOZA ERIKA</t>
  </si>
  <si>
    <t>ORTIZ ZAPATA NICANORA</t>
  </si>
  <si>
    <t>RAMIREZ BURGA ALADINO</t>
  </si>
  <si>
    <t>V7P-017</t>
  </si>
  <si>
    <t>V7P-826</t>
  </si>
  <si>
    <t>V4Z-216</t>
  </si>
  <si>
    <t>C9E-413</t>
  </si>
  <si>
    <t>B2A-346</t>
  </si>
  <si>
    <t>V1R-275</t>
  </si>
  <si>
    <t>V9E823</t>
  </si>
  <si>
    <t>V6G177</t>
  </si>
  <si>
    <t>V5N171</t>
  </si>
  <si>
    <t>V6V-002</t>
  </si>
  <si>
    <t>V2R-614</t>
  </si>
  <si>
    <t>V5D-692</t>
  </si>
  <si>
    <t>V1Q-318</t>
  </si>
  <si>
    <t>V5C-394</t>
  </si>
  <si>
    <t>V3I-499</t>
  </si>
  <si>
    <t>0733-1V</t>
  </si>
  <si>
    <t>V5V-167</t>
  </si>
  <si>
    <t>V6Q-119</t>
  </si>
  <si>
    <t>Z2U-574</t>
  </si>
  <si>
    <t>V2Z-410</t>
  </si>
  <si>
    <t>SURI SONCCO RONALD</t>
  </si>
  <si>
    <t>C3P-212</t>
  </si>
  <si>
    <t>5475-18</t>
  </si>
  <si>
    <t>V2G-646</t>
  </si>
  <si>
    <t>CAYLLAHUA MIRANDA MERCEDES</t>
  </si>
  <si>
    <t>2469-18</t>
  </si>
  <si>
    <t>V6L-195</t>
  </si>
  <si>
    <t>HERRERA ANTACHOQUE SIUL SAMIR</t>
  </si>
  <si>
    <t>V5T-282</t>
  </si>
  <si>
    <t>LOPEZ VIZCARDO ROSARIO ABIGAIL</t>
  </si>
  <si>
    <t>646-18</t>
  </si>
  <si>
    <t>317-18</t>
  </si>
  <si>
    <t>C6N-427</t>
  </si>
  <si>
    <t>HUAMANI CALLA BRYAN GEANCARLOS</t>
  </si>
  <si>
    <t>5625-18</t>
  </si>
  <si>
    <t>V6V-298</t>
  </si>
  <si>
    <t>CAPIA HUAHUASONCO JESUS SALVADOR</t>
  </si>
  <si>
    <t>1117-18</t>
  </si>
  <si>
    <t>V6P-134</t>
  </si>
  <si>
    <t>SOBERON CARPIO LOURDES RAQUEL</t>
  </si>
  <si>
    <t>BARRENA SOBERON SALLMA</t>
  </si>
  <si>
    <t>819-18</t>
  </si>
  <si>
    <t>V8O-517</t>
  </si>
  <si>
    <t>FLORES SANCHEZ JULIO CESAR</t>
  </si>
  <si>
    <t>BARRIONUEVO DE FLORES ROSA</t>
  </si>
  <si>
    <t xml:space="preserve">DAVILA TEJADA NARIANA </t>
  </si>
  <si>
    <t>Z6H-899</t>
  </si>
  <si>
    <t>MARTINEZ QUISPE LAVARO</t>
  </si>
  <si>
    <t>2899-18</t>
  </si>
  <si>
    <t>QUISPE ÑAUPA ORLENDIA</t>
  </si>
  <si>
    <t>AFA-194</t>
  </si>
  <si>
    <t>VALENCIA CHACON ELSA</t>
  </si>
  <si>
    <t>6496-18</t>
  </si>
  <si>
    <t>V7Q-496</t>
  </si>
  <si>
    <t>PIZARRO CHURA REMY</t>
  </si>
  <si>
    <t>4458-18</t>
  </si>
  <si>
    <t>V4F-195</t>
  </si>
  <si>
    <t>ROSAS JIMENEZ LORENA</t>
  </si>
  <si>
    <t>C1T-127</t>
  </si>
  <si>
    <t>ASQUI ROSS ANDRE JOSHUA</t>
  </si>
  <si>
    <t>1836-18</t>
  </si>
  <si>
    <t>V1D-304</t>
  </si>
  <si>
    <t>POLAR PINTO JHON EDWIN</t>
  </si>
  <si>
    <t>1535-18</t>
  </si>
  <si>
    <t>MIRANDA BAUTISTA JUAN MIGUEL</t>
  </si>
  <si>
    <t>3306-7M</t>
  </si>
  <si>
    <t>PILCO PEREZ QUENLI  YORDI</t>
  </si>
  <si>
    <t>X2V965</t>
  </si>
  <si>
    <t>HERRERA VILLANUEVA ELVA</t>
  </si>
  <si>
    <t>3637-18</t>
  </si>
  <si>
    <t>V5N637</t>
  </si>
  <si>
    <t>DELGADO DE LA TORRE MARIA JUANA</t>
  </si>
  <si>
    <t>116-18</t>
  </si>
  <si>
    <t>V8O099</t>
  </si>
  <si>
    <t>V5U100</t>
  </si>
  <si>
    <t>VIZCARRA CARDENAS KAREN MARIBEL</t>
  </si>
  <si>
    <t>1117-19</t>
  </si>
  <si>
    <t>V6P-135</t>
  </si>
  <si>
    <t>3957-18</t>
  </si>
  <si>
    <t>B7I-187</t>
  </si>
  <si>
    <t>QUISPE RAMIREZ LEDNER SAUL</t>
  </si>
  <si>
    <t>3336-18</t>
  </si>
  <si>
    <t>V3I-147</t>
  </si>
  <si>
    <t>MEZA ENRIQUEZ DANIEL</t>
  </si>
  <si>
    <t>1796-18</t>
  </si>
  <si>
    <t>V4H-576</t>
  </si>
  <si>
    <t>HUAMAN CCAYA ALBERTO</t>
  </si>
  <si>
    <t>4580-18</t>
  </si>
  <si>
    <t>V1O-794</t>
  </si>
  <si>
    <t>MUJICA HUILLCA FLOR</t>
  </si>
  <si>
    <t>RIVAS ALARCON MARIA</t>
  </si>
  <si>
    <t>ROCA QUINCHO GONIN JHON</t>
  </si>
  <si>
    <t>PEREZ CALDERON ANDRES</t>
  </si>
  <si>
    <t>MUJICA HUILLCA ALFREDO</t>
  </si>
  <si>
    <t>1689-18</t>
  </si>
  <si>
    <t>V5N-733</t>
  </si>
  <si>
    <t>HERBOZO DIAZ KIARA</t>
  </si>
  <si>
    <t>1914-18</t>
  </si>
  <si>
    <t>V5K-003</t>
  </si>
  <si>
    <t>GUTIERREZ ARAPA DIANA</t>
  </si>
  <si>
    <t>HUAMANI HUARCAYA CRISTIAN</t>
  </si>
  <si>
    <t>V3C-663</t>
  </si>
  <si>
    <t>CACERES CHURA DERCY</t>
  </si>
  <si>
    <t>V2H-183</t>
  </si>
  <si>
    <t>PEREZ CONDORI VICTORIA MARLENY</t>
  </si>
  <si>
    <t>4580-19</t>
  </si>
  <si>
    <t>V1O-795</t>
  </si>
  <si>
    <t>4580-20</t>
  </si>
  <si>
    <t>V1O-796</t>
  </si>
  <si>
    <t>4580-21</t>
  </si>
  <si>
    <t>V1O-797</t>
  </si>
  <si>
    <t>4580-22</t>
  </si>
  <si>
    <t>V1O-798</t>
  </si>
  <si>
    <t>1914-19</t>
  </si>
  <si>
    <t>V5K-004</t>
  </si>
  <si>
    <t>1914-20</t>
  </si>
  <si>
    <t>V5K-005</t>
  </si>
  <si>
    <t>CONDORI PEREZ YAJAIRA STHEFANY</t>
  </si>
  <si>
    <t>V4Z-204</t>
  </si>
  <si>
    <t>VALENCIA MOLLAPATA SIMON</t>
  </si>
  <si>
    <t>V3K-235</t>
  </si>
  <si>
    <t>RAMOS APAZA KEVIN</t>
  </si>
  <si>
    <t>CHALCO VASQUEZ ROSA</t>
  </si>
  <si>
    <t>HUAMANI NINASIVINCHA MIRIAM</t>
  </si>
  <si>
    <t>TAIPE CAYLLAHUA NESTOR</t>
  </si>
  <si>
    <t>YEPEZ NUÑEZ MARTHA</t>
  </si>
  <si>
    <t>5842-18</t>
  </si>
  <si>
    <t>V2H-270</t>
  </si>
  <si>
    <t>CRUZ QUISPE MAXIMO FERNANDO</t>
  </si>
  <si>
    <t>V8B-423</t>
  </si>
  <si>
    <t>CHURA ALVAREZ EDUARDO</t>
  </si>
  <si>
    <t>5145-18</t>
  </si>
  <si>
    <t>A2M-781</t>
  </si>
  <si>
    <t>TICONA ARAPA MARIA GUADALUPE</t>
  </si>
  <si>
    <t>C7-2818</t>
  </si>
  <si>
    <t>CALAPUJA APAZA SAMUEL</t>
  </si>
  <si>
    <t>MOLLENDO -AREQUIPA</t>
  </si>
  <si>
    <t>2511-18</t>
  </si>
  <si>
    <t>V8Q-286</t>
  </si>
  <si>
    <t>QUISPE CUEVA PABLO</t>
  </si>
  <si>
    <t>4965-18</t>
  </si>
  <si>
    <t>V8Z-831</t>
  </si>
  <si>
    <t>MAYHUA QUISPE VICTORIA</t>
  </si>
  <si>
    <t>V6B-504</t>
  </si>
  <si>
    <t>LEON PALOMINO PULA</t>
  </si>
  <si>
    <t>185-18</t>
  </si>
  <si>
    <t>Z3Q-267</t>
  </si>
  <si>
    <t>BRAVO CASAPERALTA LUIS ALBERTO</t>
  </si>
  <si>
    <t>MATARANI - MOLLENDO</t>
  </si>
  <si>
    <t>V7B-700</t>
  </si>
  <si>
    <t>QUINTANILLA ALVAREZ LOURDES JULIA</t>
  </si>
  <si>
    <t>V44-233</t>
  </si>
  <si>
    <t>VILCA ZAPANA JUAN LEONEL</t>
  </si>
  <si>
    <t>V5N-002</t>
  </si>
  <si>
    <t>MALAJA VELARDE CARLA</t>
  </si>
  <si>
    <t>V3V-619</t>
  </si>
  <si>
    <t>QUISPE HUACALLO GIANNINA</t>
  </si>
  <si>
    <t>CHOQUE QUISPE AITANA</t>
  </si>
  <si>
    <t>3828-18</t>
  </si>
  <si>
    <t>V2C-552</t>
  </si>
  <si>
    <t>ROSALES VELASQUEZ GONZALES</t>
  </si>
  <si>
    <t>V5N-820</t>
  </si>
  <si>
    <t xml:space="preserve">MONTESINOS LAURA NELIA </t>
  </si>
  <si>
    <t>VILLANUEVA DIAZ EMERITA</t>
  </si>
  <si>
    <t>942-18</t>
  </si>
  <si>
    <t>V1H-066</t>
  </si>
  <si>
    <t>CUEVA QUISPE PABLO</t>
  </si>
  <si>
    <t>MACEDO DE CERVANTEZ ERLINDA VIOLETA</t>
  </si>
  <si>
    <t>V7T-199</t>
  </si>
  <si>
    <t>ENCALADA PASTOR GIOVANA</t>
  </si>
  <si>
    <t>SURCO ENCALADA JEZIEL</t>
  </si>
  <si>
    <t>3263-18</t>
  </si>
  <si>
    <t>V5V-162</t>
  </si>
  <si>
    <t>LEIVA ILLANES PRIMO FELICIANO</t>
  </si>
  <si>
    <t>V8N-367</t>
  </si>
  <si>
    <t>FLORES MENDOZA GREGORIA</t>
  </si>
  <si>
    <t>6797-18</t>
  </si>
  <si>
    <t>MANRIQUE ORTEGA RITA</t>
  </si>
  <si>
    <t>2766-18</t>
  </si>
  <si>
    <t>CUENTAS COLLADO JOSE ADRIAN</t>
  </si>
  <si>
    <t>8200-18</t>
  </si>
  <si>
    <t>V5K-474</t>
  </si>
  <si>
    <t>2300-18</t>
  </si>
  <si>
    <t>5745-18</t>
  </si>
  <si>
    <t>V7C-606</t>
  </si>
  <si>
    <t>SARMIENTO CARCAUSTO MIRIAM</t>
  </si>
  <si>
    <t>981-18</t>
  </si>
  <si>
    <t>B7R-432</t>
  </si>
  <si>
    <t>8347-18</t>
  </si>
  <si>
    <t>X2X-072</t>
  </si>
  <si>
    <t>GARCIA CHAMBILLA TERESA DE JESUS</t>
  </si>
  <si>
    <t>C3C-069</t>
  </si>
  <si>
    <t>SACA GIL MARY CIELO</t>
  </si>
  <si>
    <t>V3T-571</t>
  </si>
  <si>
    <t>V7T-200</t>
  </si>
  <si>
    <t>RONDON ILLANES DEYBY</t>
  </si>
  <si>
    <t>1685-18</t>
  </si>
  <si>
    <t>V1X-477</t>
  </si>
  <si>
    <t>GONZALES CHOQUEHUANCA MANUEL</t>
  </si>
  <si>
    <t>5015-18</t>
  </si>
  <si>
    <t>V2Y-103</t>
  </si>
  <si>
    <t>QUIROZ CERPA LEONARDO SEBASTIAN</t>
  </si>
  <si>
    <t>V7P-176</t>
  </si>
  <si>
    <t>VENTURA RAMOS MARIA</t>
  </si>
  <si>
    <t>SAPACAYO BAUTISTA BELTRAN</t>
  </si>
  <si>
    <t>B5S475</t>
  </si>
  <si>
    <t>MAMANI CUSI LOURDES</t>
  </si>
  <si>
    <t>4618-18</t>
  </si>
  <si>
    <t>V5M-663</t>
  </si>
  <si>
    <t>COYA CRUZ NORKA</t>
  </si>
  <si>
    <t>6379-18</t>
  </si>
  <si>
    <t>V3L-041</t>
  </si>
  <si>
    <t>ORTEGA HERNANI ROBERTO</t>
  </si>
  <si>
    <t>HERNANI LAJO ADELA</t>
  </si>
  <si>
    <t>AROSQUIPA AYMACHOQUE JOSE JUAN</t>
  </si>
  <si>
    <t>SOLIS ZEBALLOS GEAN CARLO GERARDO</t>
  </si>
  <si>
    <t>FLORES CONDORI VICTOR GAMLIEL</t>
  </si>
  <si>
    <t>3942-18</t>
  </si>
  <si>
    <t>V1-6750</t>
  </si>
  <si>
    <t>PERALTA CHAMPI JULIAN</t>
  </si>
  <si>
    <t>PEDREGAL - MAJES</t>
  </si>
  <si>
    <t>ARANA VILCA ELMER</t>
  </si>
  <si>
    <t>CHAMBI APAZA ANYELA</t>
  </si>
  <si>
    <t>7866-18</t>
  </si>
  <si>
    <t>V8K-455</t>
  </si>
  <si>
    <t>QUISPE VDA. DE MURGA LEONOR</t>
  </si>
  <si>
    <t>7319-18</t>
  </si>
  <si>
    <t>60893S</t>
  </si>
  <si>
    <t>QUISPE ROCAS MAVIÑA</t>
  </si>
  <si>
    <t>HINOCO QUISPE YULIANO</t>
  </si>
  <si>
    <t>HINOCO QUISPE YAHIR</t>
  </si>
  <si>
    <t>V3J-635</t>
  </si>
  <si>
    <t>FLORES CALLAPAZA MARCO</t>
  </si>
  <si>
    <t>V1Y-061</t>
  </si>
  <si>
    <t>HUANCA ADCCO ROSA ISABEL</t>
  </si>
  <si>
    <t>MONTOYA ALVARADO EMIL</t>
  </si>
  <si>
    <t>FLORES CURO MERCEDES</t>
  </si>
  <si>
    <t xml:space="preserve">PUMA FLORES YEFERSON </t>
  </si>
  <si>
    <t>PACCO FLORES GILBERT</t>
  </si>
  <si>
    <t>111-2018</t>
  </si>
  <si>
    <t>V2Y-145</t>
  </si>
  <si>
    <t>RODRIGUEZ ANAMPA JOSE LUIS</t>
  </si>
  <si>
    <t>CHANCAHUIRE CHUQUITAYPE ARON</t>
  </si>
  <si>
    <t>APAZA RIVERA ANDERTSON MARIO</t>
  </si>
  <si>
    <t>FLORES LLACMA NELIDA MILAGROS</t>
  </si>
  <si>
    <t>PRADO PALOMINO KARINA MALLORY</t>
  </si>
  <si>
    <t xml:space="preserve">CHOQUEHUANCA CHECA GELDRES GABRIEL </t>
  </si>
  <si>
    <t>VELO BARBARITO MAXIMA DORA</t>
  </si>
  <si>
    <t>QUINO YAGUNO EMILIO</t>
  </si>
  <si>
    <t>LUQUE CANALES ALEXANDER OSCAR</t>
  </si>
  <si>
    <t>GAMERO CASTILLO LUZ</t>
  </si>
  <si>
    <t>TUNI ACHAHUI  DAVID</t>
  </si>
  <si>
    <t>4401-18</t>
  </si>
  <si>
    <t>X1U-731</t>
  </si>
  <si>
    <t>BAUTISTA VARGAS LUCILA</t>
  </si>
  <si>
    <t>9867-18</t>
  </si>
  <si>
    <t>C6U-020</t>
  </si>
  <si>
    <t>AQUINO CRUZ MARISOL</t>
  </si>
  <si>
    <t>GUTIERREZ AQUINO THIAGO MATEO</t>
  </si>
  <si>
    <t>V1O-020</t>
  </si>
  <si>
    <t>QUENTA LACOTA ALBERTO</t>
  </si>
  <si>
    <t xml:space="preserve">CARRILLO HUAYNILLO JOSE ALBERTO </t>
  </si>
  <si>
    <t>MACHACA CAPAQUIRA ESTEFANY</t>
  </si>
  <si>
    <t>CAPAQUIRA GUTIERREZ MARIBEL</t>
  </si>
  <si>
    <t>9408-18</t>
  </si>
  <si>
    <t>V6Y-542</t>
  </si>
  <si>
    <t>LIMACHE ANTACAHUANA BRIGIDA</t>
  </si>
  <si>
    <t>9984-18</t>
  </si>
  <si>
    <t>V2O-643</t>
  </si>
  <si>
    <t>QUISPE LAZARINOS ALEJANDRA</t>
  </si>
  <si>
    <t>6100-18</t>
  </si>
  <si>
    <t>Z3N-787</t>
  </si>
  <si>
    <t>CHILE COILA MERCEDES ADELA</t>
  </si>
  <si>
    <t>V4U-664</t>
  </si>
  <si>
    <t>SALCEDO PUMA MARIO OSCAR</t>
  </si>
  <si>
    <t>V1W-669</t>
  </si>
  <si>
    <t>HIDALGO SANTA CRUZ GREGORIA</t>
  </si>
  <si>
    <t>9939-18</t>
  </si>
  <si>
    <t>V4N-288</t>
  </si>
  <si>
    <t>MANCHEGO NAVENTA GABRIEL</t>
  </si>
  <si>
    <t>NAVENTA QUISPE ISABEL</t>
  </si>
  <si>
    <t>MANCHEGO NAVENTA SAUL</t>
  </si>
  <si>
    <t>10172-18</t>
  </si>
  <si>
    <t>C2X-486</t>
  </si>
  <si>
    <t>MOGROVEJO MOGROVEJO STEVEN</t>
  </si>
  <si>
    <t>9363-18</t>
  </si>
  <si>
    <t>F8V-637</t>
  </si>
  <si>
    <t>MAMANI HUAMANI MARIA</t>
  </si>
  <si>
    <t>5483-18</t>
  </si>
  <si>
    <t>B4G-405</t>
  </si>
  <si>
    <t>LUPACA CAYO DE RODRIGUEZ LOURDES</t>
  </si>
  <si>
    <t>RODRIGUEZ LUPACA STEPHANIE</t>
  </si>
  <si>
    <t>2333-18</t>
  </si>
  <si>
    <t>V8G-156</t>
  </si>
  <si>
    <t>QUIROZ ROMERO ALVARO</t>
  </si>
  <si>
    <t>5813-18</t>
  </si>
  <si>
    <t>Z4V-859</t>
  </si>
  <si>
    <t>CRUZ CRUZ SABINA ROSA</t>
  </si>
  <si>
    <t>C6U-702</t>
  </si>
  <si>
    <t>9136-18</t>
  </si>
  <si>
    <t>V9W-812</t>
  </si>
  <si>
    <t>MINAURO CRUZ CESAR</t>
  </si>
  <si>
    <t>3440-18</t>
  </si>
  <si>
    <t>V5R257</t>
  </si>
  <si>
    <t>CHIRINOS HUARCA ERICK</t>
  </si>
  <si>
    <t>10955-18</t>
  </si>
  <si>
    <t>B0T-146</t>
  </si>
  <si>
    <t>4404-18</t>
  </si>
  <si>
    <t>C0J-737</t>
  </si>
  <si>
    <t>RIVERA AGUILAR CLARA</t>
  </si>
  <si>
    <t>1444-18</t>
  </si>
  <si>
    <t>C8E-249</t>
  </si>
  <si>
    <t>ALVAREZ DEZA RICHARD ANTONI</t>
  </si>
  <si>
    <t>CHOQUEHUANCA SONCO FELICITAS</t>
  </si>
  <si>
    <t>3165-18</t>
  </si>
  <si>
    <t>V6G-271</t>
  </si>
  <si>
    <t>TOLENTINO RODRIGUEZ YERIK YOSHUA</t>
  </si>
  <si>
    <t>3642-18</t>
  </si>
  <si>
    <t>2676JA</t>
  </si>
  <si>
    <t>QUISPE CALAPUJA EDGARD</t>
  </si>
  <si>
    <t>QUISPE AYAMAMANI RODOLFO</t>
  </si>
  <si>
    <t>DIAZ SANCHEZ DE QUISPE MERY</t>
  </si>
  <si>
    <t>5868-18</t>
  </si>
  <si>
    <t>V1V-380</t>
  </si>
  <si>
    <t>VELASQUEZ ZAVALA JHORDAN GERARDO</t>
  </si>
  <si>
    <t>1036-18</t>
  </si>
  <si>
    <t>V6O-145</t>
  </si>
  <si>
    <t>RIVEROS RENDON BETTO MARIO</t>
  </si>
  <si>
    <t>6363-18</t>
  </si>
  <si>
    <t>V2X-781</t>
  </si>
  <si>
    <t>V6W-787</t>
  </si>
  <si>
    <t>MAMANI SURCO ROLANDO</t>
  </si>
  <si>
    <t>V4A-320</t>
  </si>
  <si>
    <t>RENDON MONTEZ MAGGLE</t>
  </si>
  <si>
    <t>519-18</t>
  </si>
  <si>
    <t>V4X-544</t>
  </si>
  <si>
    <t>VILCAPAZA LIZARRAGA YURI DINO</t>
  </si>
  <si>
    <t>V5R-712</t>
  </si>
  <si>
    <t>YUPANQUI ASTO ROSA MARIA</t>
  </si>
  <si>
    <t>10241-18</t>
  </si>
  <si>
    <t>V9G-419</t>
  </si>
  <si>
    <t>APAZA HELFER PAOLA</t>
  </si>
  <si>
    <t>7008-18</t>
  </si>
  <si>
    <t>V1Q-090</t>
  </si>
  <si>
    <t>ARANZAMENDI VENA BELEN</t>
  </si>
  <si>
    <t>8763-18</t>
  </si>
  <si>
    <t>V6W-222</t>
  </si>
  <si>
    <t>TUNI ACHAHUI DAVID</t>
  </si>
  <si>
    <t>9214-18</t>
  </si>
  <si>
    <t>W2D-703</t>
  </si>
  <si>
    <t>CASTILLA BELLIDO TERESA MARLENE</t>
  </si>
  <si>
    <t>MANRIQUE ESPINOZA JOHANNA</t>
  </si>
  <si>
    <t>CUSI MAMANI ALEJANDRINA</t>
  </si>
  <si>
    <t>ENRIQUEZ SEGOVIA HENRY</t>
  </si>
  <si>
    <t>3158-18</t>
  </si>
  <si>
    <t>V4L-231</t>
  </si>
  <si>
    <t>CASTILLO FLORES FANNY</t>
  </si>
  <si>
    <t>12085-18</t>
  </si>
  <si>
    <t>V5K-677</t>
  </si>
  <si>
    <t>BALAREZO ROJAS SABINA</t>
  </si>
  <si>
    <t>V7Q-683</t>
  </si>
  <si>
    <t>APAZA MANSILLA CARLOS DANIEL</t>
  </si>
  <si>
    <t>MENESES QUISPE RUFINO JOSE</t>
  </si>
  <si>
    <t>8383-2V</t>
  </si>
  <si>
    <t>LLASA QQUEHUE ELMER</t>
  </si>
  <si>
    <t>LLASA QQUEHUE VICTOR</t>
  </si>
  <si>
    <t>1012-18</t>
  </si>
  <si>
    <t>V3H-080</t>
  </si>
  <si>
    <t>MENDOZA NINASEVINCHA PABLO MAURO</t>
  </si>
  <si>
    <t>12103-18</t>
  </si>
  <si>
    <t>11894V</t>
  </si>
  <si>
    <t>SANCHEZ FLORES DANTE AURELIO</t>
  </si>
  <si>
    <t>MORALES CHILE ANDRES DONATO</t>
  </si>
  <si>
    <t>9602-18</t>
  </si>
  <si>
    <t>X3J855</t>
  </si>
  <si>
    <t>RIOS ORTEGA LISBETH</t>
  </si>
  <si>
    <t>8553-18</t>
  </si>
  <si>
    <t>V5X-475</t>
  </si>
  <si>
    <t>RAMOS PINTO MARIO</t>
  </si>
  <si>
    <t>4366-18</t>
  </si>
  <si>
    <t>RIVERA SACASQUI ISABEL</t>
  </si>
  <si>
    <t>RIVERA SACASQUI GISELL</t>
  </si>
  <si>
    <t>5196-18</t>
  </si>
  <si>
    <t>V9S-930</t>
  </si>
  <si>
    <t>SUNI COAGUILA XIOMARA YSELA</t>
  </si>
  <si>
    <t>V6O-053</t>
  </si>
  <si>
    <t>CALIZAYA PARI VILMA YANETH</t>
  </si>
  <si>
    <t>6613-18</t>
  </si>
  <si>
    <t>V2T-660</t>
  </si>
  <si>
    <t>V3D-103</t>
  </si>
  <si>
    <t>TEBES GUTIERREZ DORIS MARILU</t>
  </si>
  <si>
    <t>MOLLENDO-AREQUIPA</t>
  </si>
  <si>
    <t>MAJES-CAYLLOMA</t>
  </si>
  <si>
    <t>PEDREGAL-MAJES</t>
  </si>
  <si>
    <t>ACHIRE MAMANI RICARDO</t>
  </si>
  <si>
    <t>4614-18</t>
  </si>
  <si>
    <t>F9Q-599</t>
  </si>
  <si>
    <t>SUCASACA VELASQUEZ ALEXANDER</t>
  </si>
  <si>
    <t>1305-18</t>
  </si>
  <si>
    <t>V5C-060</t>
  </si>
  <si>
    <t>RAMOS CAMASITA DAYSI</t>
  </si>
  <si>
    <t>1599-18</t>
  </si>
  <si>
    <t>V4M-351</t>
  </si>
  <si>
    <t>VALERO LEON ARABELLA</t>
  </si>
  <si>
    <t>CONDORI GUTIERREZ OSVER</t>
  </si>
  <si>
    <t>T1N-738</t>
  </si>
  <si>
    <t>GONZALES SUPA BEATRIZ GREGORIA</t>
  </si>
  <si>
    <t>JUAREZ LAJARA MILAGROS</t>
  </si>
  <si>
    <t>3116-18</t>
  </si>
  <si>
    <t>V2Y-001</t>
  </si>
  <si>
    <t>HUANCA CUENTA ANDREA GREGORIA</t>
  </si>
  <si>
    <t>1467-18</t>
  </si>
  <si>
    <t>V3M-643</t>
  </si>
  <si>
    <t>CARDENAS ALVAREZ LUANA MIKAELLa</t>
  </si>
  <si>
    <t>10396-18</t>
  </si>
  <si>
    <t>V3G-968</t>
  </si>
  <si>
    <t>VELARDE LAZO RENATO</t>
  </si>
  <si>
    <t>AMAU GUZMAN RONAL A.</t>
  </si>
  <si>
    <t>QUISPE PUMA WILFREDO</t>
  </si>
  <si>
    <t>V7J-635</t>
  </si>
  <si>
    <t>VASQUEZ HERENCIA FRANK</t>
  </si>
  <si>
    <t>V8C-255</t>
  </si>
  <si>
    <t>BUSTAMANTE FLORES DAYSI LOURDES</t>
  </si>
  <si>
    <t>A5B-756</t>
  </si>
  <si>
    <t>ARMEJO SURI TEODORA</t>
  </si>
  <si>
    <t>V6Q-159</t>
  </si>
  <si>
    <t>JARA QUICAÑO NERIO</t>
  </si>
  <si>
    <t>11968-18</t>
  </si>
  <si>
    <t>V2Q-674</t>
  </si>
  <si>
    <t>VALERIANO CONDORI FERNANDO JESUS</t>
  </si>
  <si>
    <t>11413-18</t>
  </si>
  <si>
    <t>V5S-872</t>
  </si>
  <si>
    <t>ALARCON RAMOS ALEIDA</t>
  </si>
  <si>
    <t>4659-18</t>
  </si>
  <si>
    <t>V3M-652</t>
  </si>
  <si>
    <t>MIGIAS URBANO ROBERT</t>
  </si>
  <si>
    <t>11358-18</t>
  </si>
  <si>
    <t>V8A-782</t>
  </si>
  <si>
    <t>COAQUIRA MAMANI FRANCISCO</t>
  </si>
  <si>
    <t>6459-18</t>
  </si>
  <si>
    <t>V7S-886</t>
  </si>
  <si>
    <t>MAMANI CHAVEZ WILBER</t>
  </si>
  <si>
    <t>10032-18</t>
  </si>
  <si>
    <t>V9W-903</t>
  </si>
  <si>
    <t>RAMOS MESTAS SOFIA</t>
  </si>
  <si>
    <t>716-18</t>
  </si>
  <si>
    <t>V7L-020</t>
  </si>
  <si>
    <t>MUÑUICO CCALLO MILET BRISEYDA</t>
  </si>
  <si>
    <t>10178-18</t>
  </si>
  <si>
    <t>C0Q-634</t>
  </si>
  <si>
    <t>TORRES SAYHUA ADELAIDA</t>
  </si>
  <si>
    <t>1857-18</t>
  </si>
  <si>
    <t>V8Z-335</t>
  </si>
  <si>
    <t>RODRIGUEZ DEL PRADO FHAREZ IGOR</t>
  </si>
  <si>
    <t>9051-18</t>
  </si>
  <si>
    <t>Z1T-737</t>
  </si>
  <si>
    <t>PALMA ROJAS FABIAN</t>
  </si>
  <si>
    <t>ALEGRÍA MARIN JULIO</t>
  </si>
  <si>
    <t>ALEGRÍA ROJAS MILUSKA</t>
  </si>
  <si>
    <t>ROJAS VILLAFUERTE KATIA</t>
  </si>
  <si>
    <t>10970-18</t>
  </si>
  <si>
    <t>ANY-347</t>
  </si>
  <si>
    <t>CONDE PANIHUARA SULMA</t>
  </si>
  <si>
    <t>TORRES CONDE RAFAEL</t>
  </si>
  <si>
    <t>CONDE CHANCAHUAÑA SHEYLA</t>
  </si>
  <si>
    <t>DELGADILLO MEDINA NANCY</t>
  </si>
  <si>
    <t>7314-18</t>
  </si>
  <si>
    <t>0437-3V</t>
  </si>
  <si>
    <t>CHOQUE TINTAYA ELMER JOEL</t>
  </si>
  <si>
    <t>12668-18</t>
  </si>
  <si>
    <t>V2F-631</t>
  </si>
  <si>
    <t>PARILLO YUCRA TEOFILO</t>
  </si>
  <si>
    <t>V3C-111</t>
  </si>
  <si>
    <t>CASTILLO ALARCÓN JENNIFER</t>
  </si>
  <si>
    <t>578-18</t>
  </si>
  <si>
    <t>Z1O-703</t>
  </si>
  <si>
    <t>LLERENA GUIA OSCAR</t>
  </si>
  <si>
    <t>7041-18</t>
  </si>
  <si>
    <t>V4F-358</t>
  </si>
  <si>
    <t>ZAPANA SOTO CRISTIAN</t>
  </si>
  <si>
    <t>6587-18</t>
  </si>
  <si>
    <t>V2K-692</t>
  </si>
  <si>
    <t>ARENAS GAMARRA JOAQUIN ANIBAL</t>
  </si>
  <si>
    <t>ARENAS GAMARRA XIMENA ALONDRA</t>
  </si>
  <si>
    <t>9608-18</t>
  </si>
  <si>
    <t>URIARTE PANIAGUA DORIS</t>
  </si>
  <si>
    <t>SURCO QUISPE EVELYN</t>
  </si>
  <si>
    <t>9294-18</t>
  </si>
  <si>
    <t>V8N-556</t>
  </si>
  <si>
    <t>PASTRANA ROMERO FABRICIO</t>
  </si>
  <si>
    <t>GARCÍA APAZA ROSARIO EVELYN</t>
  </si>
  <si>
    <t>1901-18</t>
  </si>
  <si>
    <t>COAQUIRA FLORES OSCAR</t>
  </si>
  <si>
    <t>HUAMANI RAMIREZ FORTUNATA</t>
  </si>
  <si>
    <t>PACHECO MARTINEZ PILAR</t>
  </si>
  <si>
    <t>V6X-101</t>
  </si>
  <si>
    <t>ALDERES ACHINQUIPA RAUL</t>
  </si>
  <si>
    <t>CONDE PANIHUARA RUFINA</t>
  </si>
  <si>
    <t>60-18</t>
  </si>
  <si>
    <t>246-18</t>
  </si>
  <si>
    <t>1655-18</t>
  </si>
  <si>
    <t>1391-18</t>
  </si>
  <si>
    <t>212-18</t>
  </si>
  <si>
    <t>327-18</t>
  </si>
  <si>
    <t>785-18</t>
  </si>
  <si>
    <t>2552-18</t>
  </si>
  <si>
    <t>4185-18</t>
  </si>
  <si>
    <t>2825-18</t>
  </si>
  <si>
    <t>3908-18</t>
  </si>
  <si>
    <t>1867-18</t>
  </si>
  <si>
    <t>426-18</t>
  </si>
  <si>
    <t>1179-18</t>
  </si>
  <si>
    <t>1815-18</t>
  </si>
  <si>
    <t>1640-18</t>
  </si>
  <si>
    <t>915-18</t>
  </si>
  <si>
    <t>3533-18</t>
  </si>
  <si>
    <t>4857-18</t>
  </si>
  <si>
    <t>3391-18</t>
  </si>
  <si>
    <t>1019-18</t>
  </si>
  <si>
    <t>3482-18</t>
  </si>
  <si>
    <t>1553-18</t>
  </si>
  <si>
    <t>989-18</t>
  </si>
  <si>
    <t>2881-18</t>
  </si>
  <si>
    <t>V5O-055</t>
  </si>
  <si>
    <t>ZAMATA PAMPA ARIANA GRACE</t>
  </si>
  <si>
    <t>8677-18</t>
  </si>
  <si>
    <t>V8P-494</t>
  </si>
  <si>
    <t>LOPEZ VILLAFUERTE MONICA</t>
  </si>
  <si>
    <t>6977-18</t>
  </si>
  <si>
    <t>BARRANTES OSORIO NESTOR</t>
  </si>
  <si>
    <t>3873-18</t>
  </si>
  <si>
    <t>V8J-944</t>
  </si>
  <si>
    <t>MUÑOZ CHOQUE TOBAR</t>
  </si>
  <si>
    <t>ALFARO DE MUÑOZ FELICITA</t>
  </si>
  <si>
    <t>8588-18</t>
  </si>
  <si>
    <t>V8K-824</t>
  </si>
  <si>
    <t>DONATO SEBASTIAN URDANIVIA</t>
  </si>
  <si>
    <t>12273-18</t>
  </si>
  <si>
    <t>V8R-500</t>
  </si>
  <si>
    <t>PINTO HUAMANI MERCEDES MEDALY</t>
  </si>
  <si>
    <t>13545-18</t>
  </si>
  <si>
    <t>V5C-328</t>
  </si>
  <si>
    <t>LOPEZ QUICAÑO SUSAN MILAGROS</t>
  </si>
  <si>
    <t>12461-18</t>
  </si>
  <si>
    <t>V1O-074</t>
  </si>
  <si>
    <t>ATAMARI HUAYAPA CRISTOBAL</t>
  </si>
  <si>
    <t>2056-18</t>
  </si>
  <si>
    <t>81861D</t>
  </si>
  <si>
    <t>TORRES BENAVENTE FERTI ARTURO</t>
  </si>
  <si>
    <t>V7X-598</t>
  </si>
  <si>
    <t>MAMANI QUISPE SONIA</t>
  </si>
  <si>
    <t>13098-18</t>
  </si>
  <si>
    <t>V6H-130</t>
  </si>
  <si>
    <t>MARISCAL CHARCA JESUS OMAR</t>
  </si>
  <si>
    <t>B4O-763</t>
  </si>
  <si>
    <t>VALDIVIA VALENCIA LIAM MANUEL</t>
  </si>
  <si>
    <t>VALENCIA CRIS GIOMAR</t>
  </si>
  <si>
    <t>V1N-779</t>
  </si>
  <si>
    <t>IGLESIAS DE SANCHEZ BETTY MAURA</t>
  </si>
  <si>
    <t>V8R-857</t>
  </si>
  <si>
    <t>CUELA CONDORI LUIS ALBERTO</t>
  </si>
  <si>
    <t>8625-18</t>
  </si>
  <si>
    <t>V6B-520</t>
  </si>
  <si>
    <t>CAYLLAHUA QUENTA RICARDO</t>
  </si>
  <si>
    <t>YANA HANCO ANTONIO</t>
  </si>
  <si>
    <t>B2X-281</t>
  </si>
  <si>
    <t>DEL CARPIO PALOMINO HUMBERTO</t>
  </si>
  <si>
    <t>3782-18</t>
  </si>
  <si>
    <t>5793FA</t>
  </si>
  <si>
    <t>FLORES CHIRINOS OMER</t>
  </si>
  <si>
    <t>CHIRINOS SUNI ANNY</t>
  </si>
  <si>
    <t>3640-18</t>
  </si>
  <si>
    <t>11754C</t>
  </si>
  <si>
    <t>CABANILLAS RAMIREZ JULIO</t>
  </si>
  <si>
    <t>MOLLENDO - AREQUIPA</t>
  </si>
  <si>
    <t>938-18</t>
  </si>
  <si>
    <t>MAMANI MAMANI BETSAYDA</t>
  </si>
  <si>
    <t>9996-18</t>
  </si>
  <si>
    <t>V4T-509</t>
  </si>
  <si>
    <t>CRUZ HIDALGO VICTOR</t>
  </si>
  <si>
    <t>1821-18</t>
  </si>
  <si>
    <t>V6N-257</t>
  </si>
  <si>
    <t>ROA MUÑOZ VLADIMIR</t>
  </si>
  <si>
    <t>368-18</t>
  </si>
  <si>
    <t>V4B-347</t>
  </si>
  <si>
    <t>RODRIGUEZ COAGUILA GIRALDO</t>
  </si>
  <si>
    <t>6312-18</t>
  </si>
  <si>
    <t>ROJAS CONDO MILTON CAMILO</t>
  </si>
  <si>
    <t>13149-18</t>
  </si>
  <si>
    <t>TUNE CHOQUEHUANCA MILAGROS</t>
  </si>
  <si>
    <t>6089-3F</t>
  </si>
  <si>
    <t>QUISPE ROJAS VANESA</t>
  </si>
  <si>
    <t>AREQUIPA - CAYLLOMA</t>
  </si>
  <si>
    <t>TINOCO QUISPE YULIAN EDUARDO</t>
  </si>
  <si>
    <t>TINOCO QUISPE HAFIT YAHIR</t>
  </si>
  <si>
    <t>V2F-284</t>
  </si>
  <si>
    <t>ALARCON GONZALES FIORELLA</t>
  </si>
  <si>
    <t>C3X-199</t>
  </si>
  <si>
    <t>379-18</t>
  </si>
  <si>
    <t>V3T-329</t>
  </si>
  <si>
    <t>GONZALES OJEDA ROXANA</t>
  </si>
  <si>
    <t>3453-18</t>
  </si>
  <si>
    <t>6137-18</t>
  </si>
  <si>
    <t>7740-18</t>
  </si>
  <si>
    <t>2335-18</t>
  </si>
  <si>
    <t>6007-18</t>
  </si>
  <si>
    <t>10344-18</t>
  </si>
  <si>
    <t>12475-18</t>
  </si>
  <si>
    <t>V7Q-380</t>
  </si>
  <si>
    <t>A4A-766</t>
  </si>
  <si>
    <t>V8C-644</t>
  </si>
  <si>
    <t>V9C-767</t>
  </si>
  <si>
    <t>W3B-029</t>
  </si>
  <si>
    <t>V2L-526</t>
  </si>
  <si>
    <t>INCA HUAMAN SANTIAGO</t>
  </si>
  <si>
    <t>LOPEZ QUICAÑO GERALDINE</t>
  </si>
  <si>
    <t>MEDINA MEZA LUZ</t>
  </si>
  <si>
    <t>MENDOZA VELASCO CLETA</t>
  </si>
  <si>
    <t>MAMANI ROJAS NOHEMI VILMA</t>
  </si>
  <si>
    <t>PEREZ MENDOZA JUDMY SIEGLINDE</t>
  </si>
  <si>
    <t>LEYVA JIMENEZ RODRIGO</t>
  </si>
  <si>
    <t>GABRIEL MENDOZA FRANCISCA</t>
  </si>
  <si>
    <t>8741-18</t>
  </si>
  <si>
    <t>3632-18</t>
  </si>
  <si>
    <t>10001-18</t>
  </si>
  <si>
    <t>5291-18</t>
  </si>
  <si>
    <t>12849-18</t>
  </si>
  <si>
    <t>109-18</t>
  </si>
  <si>
    <t>12428-18</t>
  </si>
  <si>
    <t>9282-18</t>
  </si>
  <si>
    <t>11871-18</t>
  </si>
  <si>
    <t>6541-18</t>
  </si>
  <si>
    <t>10618-18</t>
  </si>
  <si>
    <t>1528-18</t>
  </si>
  <si>
    <t>10321-18</t>
  </si>
  <si>
    <t>9592-18</t>
  </si>
  <si>
    <t>V5B-406</t>
  </si>
  <si>
    <t>M08339</t>
  </si>
  <si>
    <t>Z1L-708</t>
  </si>
  <si>
    <t>V4L-786</t>
  </si>
  <si>
    <t>V0T-962</t>
  </si>
  <si>
    <t>V1D-094</t>
  </si>
  <si>
    <t>V8B-757</t>
  </si>
  <si>
    <t>V2V-622</t>
  </si>
  <si>
    <t>Z2Q-065</t>
  </si>
  <si>
    <t>V2Q-958</t>
  </si>
  <si>
    <t>V2G-019</t>
  </si>
  <si>
    <t>V1X-257</t>
  </si>
  <si>
    <t>V7W-550</t>
  </si>
  <si>
    <t>V5O-022</t>
  </si>
  <si>
    <t>JAHUIRA GONZA ALBERTO</t>
  </si>
  <si>
    <t>TICONA LIMACHE JUANA</t>
  </si>
  <si>
    <t>QUISPE MAMANI ALBINA VICENTINA</t>
  </si>
  <si>
    <t>CARCASI YYY NANCY</t>
  </si>
  <si>
    <t>CCAHUANA PACCO VICTOR</t>
  </si>
  <si>
    <t>HILASACA SILVA VICTOR</t>
  </si>
  <si>
    <t>CAYLLAHUA CAYLLAHUA FLORENCIA</t>
  </si>
  <si>
    <t>MANRIQUE CHACON SUGELY</t>
  </si>
  <si>
    <t>VEAS SANCHEZ XIOMARA</t>
  </si>
  <si>
    <t>MENDOZA PALOMINO QUICO</t>
  </si>
  <si>
    <t>MERMA JILAPA SONIA</t>
  </si>
  <si>
    <t>QUIROZ QUISPE AYME AIDA</t>
  </si>
  <si>
    <t>PAREJA BENTURA FABRICIO DANIET</t>
  </si>
  <si>
    <t>TORRES SILLOCA MAYZA</t>
  </si>
  <si>
    <t>CERPA TORRES FABIAN</t>
  </si>
  <si>
    <t>VALENCIA GIL MARIA</t>
  </si>
  <si>
    <t>CUAYLA VALENCIA MARCO</t>
  </si>
  <si>
    <t>HUAMANI BARRIGA VICTOR</t>
  </si>
  <si>
    <t>NAVARRO DÁVILA ANDREA</t>
  </si>
  <si>
    <t>CRUZ GARNICA EDGARD GODOFREDO</t>
  </si>
  <si>
    <t>COPA CCOROPUMA CREYMER</t>
  </si>
  <si>
    <t>INCACUTIPA YYY EFRAIN</t>
  </si>
  <si>
    <t>12454-18</t>
  </si>
  <si>
    <t>3102-18</t>
  </si>
  <si>
    <t>1974-18</t>
  </si>
  <si>
    <t>307-18</t>
  </si>
  <si>
    <t>13873-18</t>
  </si>
  <si>
    <t>6456-18</t>
  </si>
  <si>
    <t>5386-18</t>
  </si>
  <si>
    <t>6191-18</t>
  </si>
  <si>
    <t>8261-18</t>
  </si>
  <si>
    <t>1791-18</t>
  </si>
  <si>
    <t>V6J-471</t>
  </si>
  <si>
    <t>V5O-638</t>
  </si>
  <si>
    <t>V8C-361</t>
  </si>
  <si>
    <t>V7K-070</t>
  </si>
  <si>
    <t>F0Z-438</t>
  </si>
  <si>
    <t>A0H-799</t>
  </si>
  <si>
    <t>V8F-556</t>
  </si>
  <si>
    <t>V1X-741</t>
  </si>
  <si>
    <t>V9D-881</t>
  </si>
  <si>
    <t>V9Q-720</t>
  </si>
  <si>
    <t>CHARCA SAHUA DIONICIO</t>
  </si>
  <si>
    <t>SANCHEZ PILA VALDIVIA</t>
  </si>
  <si>
    <t>PILA VALDERRAMA LUISA</t>
  </si>
  <si>
    <t>RAMIREZ CHIRE ANDREA</t>
  </si>
  <si>
    <t>CONDORI RAMIREZ CARLOS</t>
  </si>
  <si>
    <t>CHIRE MAMANI BRICSI</t>
  </si>
  <si>
    <t>CUYO YUCRA MARIO</t>
  </si>
  <si>
    <t>CUYO CHIRE NAOMI</t>
  </si>
  <si>
    <t>RONCALLA DE VASQUEZ TERESA</t>
  </si>
  <si>
    <t>CHOQUE VARGAS JACKELIN MIRTA</t>
  </si>
  <si>
    <t>OPORTO VELASQUEZ FREDY</t>
  </si>
  <si>
    <t>QUISPE CARRILLO ALEJANDRINA</t>
  </si>
  <si>
    <t>CUADROS GUTIERREZ MATEO</t>
  </si>
  <si>
    <t>PAJA NEYRA SAORI</t>
  </si>
  <si>
    <t>NEYRA HUARCA CECILIA CAROLINA</t>
  </si>
  <si>
    <t>11610-2018</t>
  </si>
  <si>
    <t>J7T211</t>
  </si>
  <si>
    <t>DONAYRE CUADROS JOHAN JAVIER</t>
  </si>
  <si>
    <t>CORNEJO CALDERON MEDALY ALEXANDRA</t>
  </si>
  <si>
    <t>12853-2018</t>
  </si>
  <si>
    <t>3324-2018</t>
  </si>
  <si>
    <t>13359-2018</t>
  </si>
  <si>
    <t>V3H529</t>
  </si>
  <si>
    <t>V8J107</t>
  </si>
  <si>
    <t>V3V2018</t>
  </si>
  <si>
    <t>CORNEJO RAMOS MARCOS</t>
  </si>
  <si>
    <t>PANCCA GUMUCIO ALEJANDRA</t>
  </si>
  <si>
    <t>AGUILAR MAMANI ZENAIDA</t>
  </si>
  <si>
    <t>SARMIENTO QUISPE YEFERSON LUIS</t>
  </si>
  <si>
    <t>ZUÑIGA PORTUGAL VICTOR</t>
  </si>
  <si>
    <t>HUAYNASI GUTIERREZ FRAN</t>
  </si>
  <si>
    <t>MEDINA TORRES JUAN</t>
  </si>
  <si>
    <t>RUELAS CASTRO PEDRO</t>
  </si>
  <si>
    <t>IDME MAMANI AYLEN</t>
  </si>
  <si>
    <t>LAROTA FRANCO RUTH</t>
  </si>
  <si>
    <t>BEJAR HUILLCA JUAN DIEGO</t>
  </si>
  <si>
    <t>GALLEGOS MUÑANTE RONALD</t>
  </si>
  <si>
    <t>CONTRERAS ANCALLA JERSON</t>
  </si>
  <si>
    <t>ALVIZ PIZARRO JUAN</t>
  </si>
  <si>
    <t>LIPE HUAMAN JORGE</t>
  </si>
  <si>
    <t>OVIEDO CALLE LIZBETH</t>
  </si>
  <si>
    <t>CLAVIJO FLORES CELSO</t>
  </si>
  <si>
    <t>OVIEDO PUMA BALTAZAR</t>
  </si>
  <si>
    <t>CACERES CHAUPI SILVIO</t>
  </si>
  <si>
    <t>PATIÑO RODRIGUEZ SANTIAGO</t>
  </si>
  <si>
    <t>Z2P784</t>
  </si>
  <si>
    <t>9740-2018</t>
  </si>
  <si>
    <t>HERRERA DE VELARDE YOLANDA</t>
  </si>
  <si>
    <t>CERPA VALDIVIA MARCELA</t>
  </si>
  <si>
    <t>9209-18</t>
  </si>
  <si>
    <t>544-18</t>
  </si>
  <si>
    <t>8145-18</t>
  </si>
  <si>
    <t>14629-18</t>
  </si>
  <si>
    <t>11570-18</t>
  </si>
  <si>
    <t>998-19</t>
  </si>
  <si>
    <t>15989-2018</t>
  </si>
  <si>
    <t>726-2018</t>
  </si>
  <si>
    <t>3550-2018</t>
  </si>
  <si>
    <t>10796-2018</t>
  </si>
  <si>
    <t>9886-2018</t>
  </si>
  <si>
    <t>12571-2018</t>
  </si>
  <si>
    <t>13788-2018</t>
  </si>
  <si>
    <t>5484-2018</t>
  </si>
  <si>
    <t>14432-2018</t>
  </si>
  <si>
    <t>4265-2018</t>
  </si>
  <si>
    <t>12653-2018</t>
  </si>
  <si>
    <t>12458-2018</t>
  </si>
  <si>
    <t>6583-2018</t>
  </si>
  <si>
    <t>V1B-712</t>
  </si>
  <si>
    <t>V4O-471</t>
  </si>
  <si>
    <t>V2Z630</t>
  </si>
  <si>
    <t>V1M765</t>
  </si>
  <si>
    <t>V1M018</t>
  </si>
  <si>
    <t>V5D199</t>
  </si>
  <si>
    <t>V9H707</t>
  </si>
  <si>
    <t>V2R292</t>
  </si>
  <si>
    <t>V4D652</t>
  </si>
  <si>
    <t>V4O461</t>
  </si>
  <si>
    <t>X1X954</t>
  </si>
  <si>
    <t>C1D188</t>
  </si>
  <si>
    <t>V1Q116</t>
  </si>
  <si>
    <t>Z4G551</t>
  </si>
  <si>
    <t>V5X264</t>
  </si>
  <si>
    <t>V4W245</t>
  </si>
  <si>
    <t>V4E135</t>
  </si>
  <si>
    <t>V6B045</t>
  </si>
  <si>
    <t>Y1C011</t>
  </si>
  <si>
    <t>LLERENA CONCHA NANCY</t>
  </si>
  <si>
    <t>ALLAZO MEDINA KARI</t>
  </si>
  <si>
    <t>VARGAS RIVEROS VIRGINIA</t>
  </si>
  <si>
    <t>RAMOS MALLMA DIANA</t>
  </si>
  <si>
    <t>BARBACHAN ZEGARRA NAYARET</t>
  </si>
  <si>
    <t>BARBACHAN ZEGARRA MARIEL</t>
  </si>
  <si>
    <t>MELENDEZ RODRIGUEZ CATALINA</t>
  </si>
  <si>
    <t>RIVERA AROMI ROSMERY</t>
  </si>
  <si>
    <t>PAUCAR MONTEAGUDO NILDA</t>
  </si>
  <si>
    <t>MARROQUIN PAUCAR JOSUE JORGE</t>
  </si>
  <si>
    <t>DE LA CRUZ GONZALES YONEL</t>
  </si>
  <si>
    <t>APAZA YUCRA REBECA</t>
  </si>
  <si>
    <t>GONZALES MAMANI HERMELINDA</t>
  </si>
  <si>
    <t>MERLO MALDONADO OFELIA</t>
  </si>
  <si>
    <t>HUILLCA YANQUE MATILDE</t>
  </si>
  <si>
    <t>SOTOMAYOR FLORES MARYORI</t>
  </si>
  <si>
    <t>CALISAYA MAMANI JOSEFINA</t>
  </si>
  <si>
    <t>POLO ESTEPIA ELIAS</t>
  </si>
  <si>
    <t>MANSILLA ITO JULIO JORGE</t>
  </si>
  <si>
    <t>BARONA SALANO MARIA</t>
  </si>
  <si>
    <t>CONDORI YANQUE GUIDO</t>
  </si>
  <si>
    <t>GONZALEZ CHECA JUAN ALFREDO</t>
  </si>
  <si>
    <t>CHECA DE GONZALES CARMEN</t>
  </si>
  <si>
    <t>VERA HERRERA FRANSHESCA</t>
  </si>
  <si>
    <t>BERRIOS LAURA DIEGO</t>
  </si>
  <si>
    <t>OTAZU QUISPE FERNANDO</t>
  </si>
  <si>
    <t>ZUARES QUISPE MARILU</t>
  </si>
  <si>
    <t>RODRIGUEZ ZEBALLOS CRISTIAN</t>
  </si>
  <si>
    <t>COCACHACRA - ISLAY</t>
  </si>
  <si>
    <t>GARCIA ARAPA FREDDY JONATTAN</t>
  </si>
  <si>
    <t>3887-2018</t>
  </si>
  <si>
    <t>888-2019</t>
  </si>
  <si>
    <t>6803-2018</t>
  </si>
  <si>
    <t>8605-2018</t>
  </si>
  <si>
    <t>1439-2019</t>
  </si>
  <si>
    <t>12078-2018</t>
  </si>
  <si>
    <t>14374-2018</t>
  </si>
  <si>
    <t>11607-2018</t>
  </si>
  <si>
    <t>13054-2018</t>
  </si>
  <si>
    <t>2261-2018</t>
  </si>
  <si>
    <t>10697-2018</t>
  </si>
  <si>
    <t>10624-2018</t>
  </si>
  <si>
    <t>4917-2018</t>
  </si>
  <si>
    <t>8289-2018</t>
  </si>
  <si>
    <t>12851-2018</t>
  </si>
  <si>
    <t>4591-2018</t>
  </si>
  <si>
    <t>9999-1M</t>
  </si>
  <si>
    <t>7752-9D</t>
  </si>
  <si>
    <t>V5L688</t>
  </si>
  <si>
    <t>V3Y105</t>
  </si>
  <si>
    <t>Z7L961</t>
  </si>
  <si>
    <t>V5Q396</t>
  </si>
  <si>
    <t>V8A483</t>
  </si>
  <si>
    <t>V4V552</t>
  </si>
  <si>
    <t>V5S-252</t>
  </si>
  <si>
    <t>V3Q-392</t>
  </si>
  <si>
    <t>V5P051</t>
  </si>
  <si>
    <t>CQA472</t>
  </si>
  <si>
    <t>V7B193</t>
  </si>
  <si>
    <t>V6V-284</t>
  </si>
  <si>
    <t>V4J-441</t>
  </si>
  <si>
    <t>4440JA</t>
  </si>
  <si>
    <t>ROMERO RAMOS SHAKIRA</t>
  </si>
  <si>
    <t>NOA CAMINO HILDA</t>
  </si>
  <si>
    <t>SALAS GARCIA  PASTORA SOLEDAD</t>
  </si>
  <si>
    <t>RAMOS VELASQUEZ KATHERINE</t>
  </si>
  <si>
    <t xml:space="preserve">PINTO QUISPE ZENOBIA </t>
  </si>
  <si>
    <t>CASTRO ZUÑIGA SEGUNDO</t>
  </si>
  <si>
    <t>PUICAÑO HUANCA YUDI</t>
  </si>
  <si>
    <t>YSUIZA CHAFUTALLE LUZMILA</t>
  </si>
  <si>
    <t>VERAMENDI TITO SERGIO</t>
  </si>
  <si>
    <t>CCCALLATA CASANI ANTONI</t>
  </si>
  <si>
    <t>ALANIA ESCOBAR CELESTE MARILYN</t>
  </si>
  <si>
    <t>HARVEY ARCE SHARON KATLEN</t>
  </si>
  <si>
    <t>ALBARRACIN ROSAS JULIO CESAR</t>
  </si>
  <si>
    <t>VARGAS VELASQUEZ MARIA TERESA</t>
  </si>
  <si>
    <t>PAZ ARAUJO SILVIA</t>
  </si>
  <si>
    <t>AVILA SOTO ADRIAN</t>
  </si>
  <si>
    <t>RODRIGUEZ ALPACA EDILBERTO</t>
  </si>
  <si>
    <t>ANICAMA BARRIOS JULIO</t>
  </si>
  <si>
    <t>ZUTTA ARCOS JAVIER JAIME</t>
  </si>
  <si>
    <t>PEDREGAL - CAYLLOMA</t>
  </si>
  <si>
    <t>LA PAMPA-CAMANA</t>
  </si>
  <si>
    <t>MATARANI- ISLAY</t>
  </si>
  <si>
    <t>6345-2018</t>
  </si>
  <si>
    <t>V7E-000</t>
  </si>
  <si>
    <t>CRUZ YUCRA HAYDEE</t>
  </si>
  <si>
    <t>10799-2018</t>
  </si>
  <si>
    <t>V4Y-279</t>
  </si>
  <si>
    <t>MALLMA ESPEJO DINA</t>
  </si>
  <si>
    <t>TICONA VARGAS ALAN</t>
  </si>
  <si>
    <t>6774-2019</t>
  </si>
  <si>
    <t>V9D758</t>
  </si>
  <si>
    <t>SANZ GOMEZ GRISELDA</t>
  </si>
  <si>
    <t>7128-2018</t>
  </si>
  <si>
    <t>V6Z-350</t>
  </si>
  <si>
    <t>CASTILLO BRUCES JOSE ABRAHAN</t>
  </si>
  <si>
    <t>12158-2018</t>
  </si>
  <si>
    <t>V9U-714</t>
  </si>
  <si>
    <t>CASTRO NINA LUISA AGUSTINA</t>
  </si>
  <si>
    <t>11998-2018</t>
  </si>
  <si>
    <t>V2W635</t>
  </si>
  <si>
    <t>RODRIGUEZ TORRES OLIVIA LUMERY</t>
  </si>
  <si>
    <t>1121-2019</t>
  </si>
  <si>
    <t>V2U628</t>
  </si>
  <si>
    <t>ANCCO DE VALDIVIA ALEJANDRINA VICENTINA</t>
  </si>
  <si>
    <t>9177-2018</t>
  </si>
  <si>
    <t>V1E048</t>
  </si>
  <si>
    <t>ASMAT SALAS WILBERT</t>
  </si>
  <si>
    <t>7754-2018</t>
  </si>
  <si>
    <t>V3X044</t>
  </si>
  <si>
    <t>10279-2018</t>
  </si>
  <si>
    <t>A0Q788</t>
  </si>
  <si>
    <t>CHUQUIMAMANI PORTUGAL BREZNEY WILLY</t>
  </si>
  <si>
    <t>8571-2018</t>
  </si>
  <si>
    <t>V4C629</t>
  </si>
  <si>
    <t>CERVANTES GARCES ANTONIO AUGUSTO</t>
  </si>
  <si>
    <t>AGUIRRE VDA DE HUANCA CARLOTA</t>
  </si>
  <si>
    <t>ALCCAMARI SAICO SONIA GLADIS</t>
  </si>
  <si>
    <t>CALLA YUCRA HAYDEE MARYLUZ</t>
  </si>
  <si>
    <t>DIAZ MENDOZA VERONICA TANIA</t>
  </si>
  <si>
    <t>HUACARPUMA AVENDAÑO JESSICA</t>
  </si>
  <si>
    <t>CHILO BOBADILLA ADRIAN</t>
  </si>
  <si>
    <t>PRADA MELENDEZ ROY DANNY</t>
  </si>
  <si>
    <t>SONCCO PATA PEDRO</t>
  </si>
  <si>
    <t>ASTACIE MOLINA ROBERTO</t>
  </si>
  <si>
    <t>BARRIOS VILLAVICENCIO MAGNOLIA</t>
  </si>
  <si>
    <t>QUISPE YYY MELCHORA</t>
  </si>
  <si>
    <t>TERRAZAS LOPEZ FIORELLA</t>
  </si>
  <si>
    <t>AGUILAR YYY MARIA ANA</t>
  </si>
  <si>
    <t>BECERRA CONCHA LOLA EMILIA</t>
  </si>
  <si>
    <t>BARRIOS MAMANI EVELYN GUADALUPE</t>
  </si>
  <si>
    <t>432-2019</t>
  </si>
  <si>
    <t>V8X004</t>
  </si>
  <si>
    <t xml:space="preserve">LAM BARRIONUEVO DANIEL ALBERTO </t>
  </si>
  <si>
    <t>3704-2018</t>
  </si>
  <si>
    <t>F1S024</t>
  </si>
  <si>
    <t>RAVI CHIRE YOVANNA</t>
  </si>
  <si>
    <t>7715-2018</t>
  </si>
  <si>
    <t>V2F415</t>
  </si>
  <si>
    <t>10684-2018</t>
  </si>
  <si>
    <t>X2L005</t>
  </si>
  <si>
    <t>CONDORCAHUANA MONTES SONIA LOURDES</t>
  </si>
  <si>
    <t>CAMANA-ACAMANA</t>
  </si>
  <si>
    <t>12716-2018</t>
  </si>
  <si>
    <t>X1J302</t>
  </si>
  <si>
    <t>VASQUEZ VASQUEZ HAYDEE</t>
  </si>
  <si>
    <t>10248-2018</t>
  </si>
  <si>
    <t>5141-2018</t>
  </si>
  <si>
    <t>13652-2018</t>
  </si>
  <si>
    <t>V8M042</t>
  </si>
  <si>
    <t>V1A-223</t>
  </si>
  <si>
    <t>V2R100</t>
  </si>
  <si>
    <t>TORRES RIOS EDY ESTEBAN</t>
  </si>
  <si>
    <t>CHUCTAYA YAULI CLARA</t>
  </si>
  <si>
    <t>ALAN CCAMAQUE NAYDA</t>
  </si>
  <si>
    <t>14143-2018</t>
  </si>
  <si>
    <t>V0B909</t>
  </si>
  <si>
    <t>GONZALES GAMARRA RUBI</t>
  </si>
  <si>
    <t>TAPARA CONDORI MARTIN</t>
  </si>
  <si>
    <t>8544-2018</t>
  </si>
  <si>
    <t>V5X193</t>
  </si>
  <si>
    <t>RIVERA MENDOZA ROMULO RICARDO</t>
  </si>
  <si>
    <t>15495-2018</t>
  </si>
  <si>
    <t>ARI825</t>
  </si>
  <si>
    <t>553-2019</t>
  </si>
  <si>
    <t>9425-2018</t>
  </si>
  <si>
    <t>14850-2018</t>
  </si>
  <si>
    <t>11571-2018</t>
  </si>
  <si>
    <t>6811-2018</t>
  </si>
  <si>
    <t>9050-2018</t>
  </si>
  <si>
    <t>8684-2018</t>
  </si>
  <si>
    <t>3240-2019</t>
  </si>
  <si>
    <t>3942-2018</t>
  </si>
  <si>
    <t>1598-2019</t>
  </si>
  <si>
    <t>10970-2018</t>
  </si>
  <si>
    <t>5448-2018</t>
  </si>
  <si>
    <t>122785-2018</t>
  </si>
  <si>
    <t>4109-2019</t>
  </si>
  <si>
    <t>7436-2018</t>
  </si>
  <si>
    <t>8830-2018</t>
  </si>
  <si>
    <t>13737-2018</t>
  </si>
  <si>
    <t>9572-2018</t>
  </si>
  <si>
    <t>3643-2019</t>
  </si>
  <si>
    <t>V5D213</t>
  </si>
  <si>
    <t>V3H953</t>
  </si>
  <si>
    <t>V6K114</t>
  </si>
  <si>
    <t>V7X326</t>
  </si>
  <si>
    <t>P2I539</t>
  </si>
  <si>
    <t>V6V507</t>
  </si>
  <si>
    <t>V7X861</t>
  </si>
  <si>
    <t>V7O486</t>
  </si>
  <si>
    <t>V16750</t>
  </si>
  <si>
    <t>V2B344</t>
  </si>
  <si>
    <t>AWY347</t>
  </si>
  <si>
    <t>A0B733</t>
  </si>
  <si>
    <t>V3O213</t>
  </si>
  <si>
    <t>V8B-525</t>
  </si>
  <si>
    <t>V1Y-055</t>
  </si>
  <si>
    <t>V5J-433</t>
  </si>
  <si>
    <t>V6X258</t>
  </si>
  <si>
    <t>V8W212</t>
  </si>
  <si>
    <t>V4R694</t>
  </si>
  <si>
    <t>CHAMA CAYLLAHUA ANYELY</t>
  </si>
  <si>
    <t>CUPER TICONA CARLOS</t>
  </si>
  <si>
    <t>ROQUE CHIRINOS JOVA</t>
  </si>
  <si>
    <t>BARRIGA ORTIZ CIRILO</t>
  </si>
  <si>
    <t>FLORES LLERENA ANTONIO DALTON</t>
  </si>
  <si>
    <t>ACOSTA VENTURA CARMINIA CINTHIA</t>
  </si>
  <si>
    <t>QUISPE JUAREZ BERTHA SONIA</t>
  </si>
  <si>
    <t>HUALLPA BARRETO VICTORIA</t>
  </si>
  <si>
    <t>RIVERA HUALLPA HILDA FORTUNATA</t>
  </si>
  <si>
    <t>JARA HUAMAN MIRIAM</t>
  </si>
  <si>
    <t>ALVARADO AGUILAR BLADIMIRO</t>
  </si>
  <si>
    <t>ORTEGA DE FLORES ROSARIA</t>
  </si>
  <si>
    <t>GUTIERREZ ZAVALA MELANI</t>
  </si>
  <si>
    <t>ROQUE RODRIGUEZ ANA</t>
  </si>
  <si>
    <t>PALLALLI CRUZ CARMEN ROSA</t>
  </si>
  <si>
    <t>JUÑO ALVAREZ RICHARD FAUSTINO</t>
  </si>
  <si>
    <t>MIRANDA SALAS MILENY</t>
  </si>
  <si>
    <t>QUISPE MAMANI CAMILA LIZZET</t>
  </si>
  <si>
    <t>MACHACA MACHACA ISIDRO</t>
  </si>
  <si>
    <t>SONCCO CAHUI SAYDA</t>
  </si>
  <si>
    <t>GUTIERREZ MEDINA DANNY</t>
  </si>
  <si>
    <t>QUEZADA CUTIPA ANA CLORINDA</t>
  </si>
  <si>
    <t>SONCCO DE LA CRUZ BONIFACIA</t>
  </si>
  <si>
    <t>JIMENEZ GIRON REVECA</t>
  </si>
  <si>
    <t>PEREZ DE CHIRE NINFA VILMA</t>
  </si>
  <si>
    <t>5377-2019</t>
  </si>
  <si>
    <t>A4L-716</t>
  </si>
  <si>
    <t>POMA CCOA DELIA</t>
  </si>
  <si>
    <t>10545-2018</t>
  </si>
  <si>
    <t>V3Q-415</t>
  </si>
  <si>
    <t>ZEA YUCRA MIKI JASON MATHENS</t>
  </si>
  <si>
    <t>6560-2018</t>
  </si>
  <si>
    <t>V9D-756</t>
  </si>
  <si>
    <t>ZAMUDIO CAHUANA JUAN VICTOR</t>
  </si>
  <si>
    <t>13213-2018</t>
  </si>
  <si>
    <t>V1F406</t>
  </si>
  <si>
    <t>CCAHUA CCAHUA MARIA ANGELICA</t>
  </si>
  <si>
    <t>663-2019</t>
  </si>
  <si>
    <t>V6G736</t>
  </si>
  <si>
    <t>1411-2019</t>
  </si>
  <si>
    <t>V6N365</t>
  </si>
  <si>
    <t>ZURITA NEYRA LEONIDAS</t>
  </si>
  <si>
    <t>APAZA PACORI DANIELA</t>
  </si>
  <si>
    <t>ZAMATA APAZA ALIZEE</t>
  </si>
  <si>
    <t>ZAMATA CCARI FREDY</t>
  </si>
  <si>
    <t>2740-2019</t>
  </si>
  <si>
    <t>V1A022</t>
  </si>
  <si>
    <t>3349-2019</t>
  </si>
  <si>
    <t>5185-7A</t>
  </si>
  <si>
    <t>CESENARDO LARICO MARIO</t>
  </si>
  <si>
    <t>VERA CORNEJO LUCIA FERNANDA</t>
  </si>
  <si>
    <t>LEIVA BERNAL JAFET ALEX</t>
  </si>
  <si>
    <t>LEIVA VERA ALEANDRO NICOLAS</t>
  </si>
  <si>
    <t>3681-2019</t>
  </si>
  <si>
    <t>V6W-306</t>
  </si>
  <si>
    <t>BEGAZO VIZCARDO JESUS</t>
  </si>
  <si>
    <t>VALERIANO SONCCO JOSE</t>
  </si>
  <si>
    <t>11488-2018</t>
  </si>
  <si>
    <t>14731-2018</t>
  </si>
  <si>
    <t>V6J301</t>
  </si>
  <si>
    <t>3425-2019</t>
  </si>
  <si>
    <t>A0B752</t>
  </si>
  <si>
    <t>15437-2018</t>
  </si>
  <si>
    <t>V8W636</t>
  </si>
  <si>
    <t>A0Q-788</t>
  </si>
  <si>
    <t>1733-2019</t>
  </si>
  <si>
    <t>QUISPE COLQUE BONIFACIA</t>
  </si>
  <si>
    <t>CHENEAUX MARQUEZ GIANCARLO RICARDO</t>
  </si>
  <si>
    <t>DELGADO VALERIO NATALY</t>
  </si>
  <si>
    <t>LUPINTA HUAMANI WENDY  LOURDES</t>
  </si>
  <si>
    <t>QUICAÑO LUPINTA SAMANTA</t>
  </si>
  <si>
    <t>MOLLENDO- ISLAY</t>
  </si>
  <si>
    <t>MOLLENDOO-YSLAY</t>
  </si>
  <si>
    <t>CUENTAS BUSTAMANTE EDWIN ANTHONY</t>
  </si>
  <si>
    <t>PERCA TORRES PATRICKS EDWIN</t>
  </si>
  <si>
    <t>CARPIO ZEGARRA DORA</t>
  </si>
  <si>
    <t>SOTA MENDOZA RENE</t>
  </si>
  <si>
    <t xml:space="preserve">COAGUILA HUAMANI CINTHIA </t>
  </si>
  <si>
    <t>FLORES DIAZ GIOVANNY BRAYAN</t>
  </si>
  <si>
    <t>CANO VDA. DE CASTRO MARIA</t>
  </si>
  <si>
    <t>CORNEJO NARREA ANA AMARIA</t>
  </si>
  <si>
    <t>14271-2018</t>
  </si>
  <si>
    <t>V2R-094</t>
  </si>
  <si>
    <t>8595-2018</t>
  </si>
  <si>
    <t>V7Y-832</t>
  </si>
  <si>
    <t>15823-2018</t>
  </si>
  <si>
    <t>V6I-185</t>
  </si>
  <si>
    <t>11053-2018</t>
  </si>
  <si>
    <t>V4R-404</t>
  </si>
  <si>
    <t>5985-2019</t>
  </si>
  <si>
    <t>V5K-046</t>
  </si>
  <si>
    <t>713-2019</t>
  </si>
  <si>
    <t>V2W-616</t>
  </si>
  <si>
    <t>1201-2019</t>
  </si>
  <si>
    <t>Z3V-720</t>
  </si>
  <si>
    <t>10281-2018</t>
  </si>
  <si>
    <t>V8C-845</t>
  </si>
  <si>
    <t>SUCASI QUISPE CESAR SANTIAGO</t>
  </si>
  <si>
    <t>ROMERO ZEGARRA SOFIA</t>
  </si>
  <si>
    <t>GALLEGOS JUAREZ MIGUEL</t>
  </si>
  <si>
    <t>CHAMBI TICONA PETRONILA</t>
  </si>
  <si>
    <t>CRUZ ARAMBULA RICHARD</t>
  </si>
  <si>
    <t>MAMANI CHAMBI ERICK</t>
  </si>
  <si>
    <t>LUQUE RIOS MYA</t>
  </si>
  <si>
    <t>LUQUE RIOS ANDREA</t>
  </si>
  <si>
    <t>RIOS PAUCAR YULI JOHANA</t>
  </si>
  <si>
    <t>LUQUE BUSTOS PABLO</t>
  </si>
  <si>
    <t>CUNO RAMOS NELLY</t>
  </si>
  <si>
    <t>6729-2019</t>
  </si>
  <si>
    <t>D6W923</t>
  </si>
  <si>
    <t>13647-2018</t>
  </si>
  <si>
    <t>V8I339</t>
  </si>
  <si>
    <t>15990-2018</t>
  </si>
  <si>
    <t>B3D702</t>
  </si>
  <si>
    <t>4170-2019</t>
  </si>
  <si>
    <t>V5Z214</t>
  </si>
  <si>
    <t>5497-2019</t>
  </si>
  <si>
    <t>D8C170</t>
  </si>
  <si>
    <t>7526-2018</t>
  </si>
  <si>
    <t>AAQ368</t>
  </si>
  <si>
    <t>NEYRA DE VILCA SUSANA JOAQUINA</t>
  </si>
  <si>
    <t>GRUNDY FLORES AARON CRISTOPHER</t>
  </si>
  <si>
    <t>GRUNDY MUÑOZ JESUS YONATHAN</t>
  </si>
  <si>
    <t>CCAHUANA TACO JUAN TEODORO</t>
  </si>
  <si>
    <t>GONZALES SALAS MARIO ALBERTO</t>
  </si>
  <si>
    <t>SENCIA SISA JEAN FRANCO</t>
  </si>
  <si>
    <t>HILACHOQUE LOPE REYMER</t>
  </si>
  <si>
    <t>RENDON YAHUIRA LIZBETH YESENIA</t>
  </si>
  <si>
    <t>VILCA ROMERO JUNIOR TOMAS</t>
  </si>
  <si>
    <t>CONSA SUNI LUZ BELLA</t>
  </si>
  <si>
    <t>CARDENAS VDA DE CACERES JESUS HAYDEE</t>
  </si>
  <si>
    <t>QUISPE COTIMPA SEBASTIANA</t>
  </si>
  <si>
    <t>CONNERI CARRILLO SUSANA JUSTA</t>
  </si>
  <si>
    <t>MAMANI CHAMBI JHOSELIN SABINA</t>
  </si>
  <si>
    <t>HUAMAN CHILLIHUA FRANK JHONATAM</t>
  </si>
  <si>
    <t>SONCCO LUNA NIKOL ZOLANSH</t>
  </si>
  <si>
    <t>MUÑOZ PUMA SONIA JAZMIN</t>
  </si>
  <si>
    <t>8487-2018</t>
  </si>
  <si>
    <t>9040-2018</t>
  </si>
  <si>
    <t>3234-2019</t>
  </si>
  <si>
    <t>V7B875</t>
  </si>
  <si>
    <t>Z4G950</t>
  </si>
  <si>
    <t>V8F188</t>
  </si>
  <si>
    <t>JIMENEZ CAMA JUAN JOSE</t>
  </si>
  <si>
    <t>VARGAS PACHECO VIDAL ALEXIS</t>
  </si>
  <si>
    <t>PACHECO VALDIVIA ADITA MAYERLY</t>
  </si>
  <si>
    <t>ESPINOZA MEDINA PAULO CESAR</t>
  </si>
  <si>
    <t>VARGAS CHUCTAYA PAULO ANDRE</t>
  </si>
  <si>
    <t>POLAR RODRIGUEZ MARIBEL PATRICIA</t>
  </si>
  <si>
    <t>HANCCO CALCINA ROSA MARCELINA</t>
  </si>
  <si>
    <t>NIETO SUCASACA THAIS ESTRELLA</t>
  </si>
  <si>
    <t>CHILO LLERENA JOSE</t>
  </si>
  <si>
    <t>ISLAY-AREQUIPA</t>
  </si>
  <si>
    <t>1791-2019</t>
  </si>
  <si>
    <t>11503-2018</t>
  </si>
  <si>
    <t>12360-2018</t>
  </si>
  <si>
    <t>980-2019</t>
  </si>
  <si>
    <t>15074-2018</t>
  </si>
  <si>
    <t>3868-2019</t>
  </si>
  <si>
    <t>X1Y964</t>
  </si>
  <si>
    <t>M2T684</t>
  </si>
  <si>
    <t>V3W019</t>
  </si>
  <si>
    <t>V8D690</t>
  </si>
  <si>
    <t>V7C757</t>
  </si>
  <si>
    <t>V5F158</t>
  </si>
  <si>
    <t>MAMANI CHAIÑA ELENA</t>
  </si>
  <si>
    <t>MOLINA HUARICALLO RUBEN GREGORIO</t>
  </si>
  <si>
    <t>FLORES SOTO BRAULIO</t>
  </si>
  <si>
    <t>QUISPE VELASQUEZ JULIO</t>
  </si>
  <si>
    <t>ARONI MEDINA INDIRA</t>
  </si>
  <si>
    <t>MEDINA JIMENEZ CLARA MARLENY</t>
  </si>
  <si>
    <t>HERRERA VERA ARISDANIA JULIET</t>
  </si>
  <si>
    <t>VERA MAMANI MARIA TERESA</t>
  </si>
  <si>
    <t>FLORES MACHACA FREDY</t>
  </si>
  <si>
    <t>CEVALLOS CHARCA ZILA KIMBERLYN</t>
  </si>
  <si>
    <t>RODRIGUEZ JIMENEZ SHIRLEY KATIUSKA</t>
  </si>
  <si>
    <t>DUEÑAS ARCE ROSA ANGELA</t>
  </si>
  <si>
    <t>QUISPE LLANO IRMA GRIMANITA</t>
  </si>
  <si>
    <t>MEZA AQUISE JOSE ANDREW</t>
  </si>
  <si>
    <t>LLOJLLA APAZA DAVID</t>
  </si>
  <si>
    <t>LLOJLLA NOA JIMENA</t>
  </si>
  <si>
    <t>VARGAS ARCANA JOAQUIN SAMIR</t>
  </si>
  <si>
    <t>HUAYLLA DE TUNQUIPA ANASTACIA</t>
  </si>
  <si>
    <t>TAYA CHOQUE YESICA ANDREA</t>
  </si>
  <si>
    <t>2974-2019</t>
  </si>
  <si>
    <t>75833V</t>
  </si>
  <si>
    <t>COLQUE ROVERT RAMON</t>
  </si>
  <si>
    <t>FLORES CALATAYUD YURIKO CARMEN</t>
  </si>
  <si>
    <t>AQUINO OSCAR</t>
  </si>
  <si>
    <t>BRICEÑO TORREBLANCA ELSA</t>
  </si>
  <si>
    <t>QUISPE CAHUANA LOURDES</t>
  </si>
  <si>
    <t>ORTIZ TAIPE ANGEL</t>
  </si>
  <si>
    <t>SANTOS VENTURA MAGNO GERONIMO</t>
  </si>
  <si>
    <t>CHAVEZ FLORES GREGORIO</t>
  </si>
  <si>
    <t>LLAVIYLLA VILCAPE ELIZABETH</t>
  </si>
  <si>
    <t>4757-2019</t>
  </si>
  <si>
    <t>2726-2019</t>
  </si>
  <si>
    <t>14501-2018</t>
  </si>
  <si>
    <t>13826-2018</t>
  </si>
  <si>
    <t>6804-2018</t>
  </si>
  <si>
    <t>7631-2018</t>
  </si>
  <si>
    <t>15401-2018</t>
  </si>
  <si>
    <t>2775-2019</t>
  </si>
  <si>
    <t>7041-2019</t>
  </si>
  <si>
    <t>V7Z-360</t>
  </si>
  <si>
    <t>V9G314</t>
  </si>
  <si>
    <t>B70851</t>
  </si>
  <si>
    <t>V7E520</t>
  </si>
  <si>
    <t>V3B292</t>
  </si>
  <si>
    <t>V8Y182</t>
  </si>
  <si>
    <t>V5D201</t>
  </si>
  <si>
    <t>V5K237</t>
  </si>
  <si>
    <t>V3E454</t>
  </si>
  <si>
    <t>SANCHEZ MAMANI CARMEN ROCIO</t>
  </si>
  <si>
    <t>SANCHEZ MAMANI ANGELES SALOME</t>
  </si>
  <si>
    <t>APAZA TICONA DAYLIN DAYANA</t>
  </si>
  <si>
    <t>VERA CAHUATA ANGELA</t>
  </si>
  <si>
    <t>MARTINEZ LOBATON JOSE MARIA</t>
  </si>
  <si>
    <t>HUAMAN HUANCA SAMUEL</t>
  </si>
  <si>
    <t>CARCAMO SALAZAR IRMA DELIS</t>
  </si>
  <si>
    <t>PONCE NACHITA AMALIA</t>
  </si>
  <si>
    <t>IQUIAPAZA MENDIZABAL KATHERINE</t>
  </si>
  <si>
    <t>OTAZU PINO JOYCE SONIA</t>
  </si>
  <si>
    <t>MARTINEZ DELGADO MARIA EUGENIA</t>
  </si>
  <si>
    <t>VALENCIA PRADO EDWIN ANGEL</t>
  </si>
  <si>
    <t>12392-2018</t>
  </si>
  <si>
    <t>V4Y477</t>
  </si>
  <si>
    <t>9673-2018</t>
  </si>
  <si>
    <t>V8O190</t>
  </si>
  <si>
    <t>15927-2018</t>
  </si>
  <si>
    <t>V5G191</t>
  </si>
  <si>
    <t>13754-2018</t>
  </si>
  <si>
    <t>V5D122</t>
  </si>
  <si>
    <t>10418-2018</t>
  </si>
  <si>
    <t>V4Y672</t>
  </si>
  <si>
    <t>425-2019</t>
  </si>
  <si>
    <t>D2H257</t>
  </si>
  <si>
    <t>9753-2018</t>
  </si>
  <si>
    <t>V5Q523</t>
  </si>
  <si>
    <t>9528-2018</t>
  </si>
  <si>
    <t>V2X184</t>
  </si>
  <si>
    <t>DETALLE DE INFORMACION SOBRE SINIESTROS PAGADOS Y PENDIENTES DE PAGO AL 30 DE JUNIO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</si>
</sst>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dd/mm/yy;@"/>
    <numFmt numFmtId="165" formatCode="000000"/>
    <numFmt numFmtId="166" formatCode="000"/>
    <numFmt numFmtId="167" formatCode="dd/mm/yyyy;@"/>
    <numFmt numFmtId="168" formatCode="#,##0.00;[Red]#,##0.00"/>
  </numFmts>
  <fonts count="20" x14ac:knownFonts="1"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20"/>
      <color theme="1"/>
      <name val="Algerian"/>
      <family val="5"/>
    </font>
    <font>
      <b/>
      <sz val="18"/>
      <color theme="1"/>
      <name val="Bernard MT Condensed"/>
      <family val="1"/>
    </font>
    <font>
      <b/>
      <sz val="10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</cellStyleXfs>
  <cellXfs count="280">
    <xf numFmtId="0" fontId="0" fillId="0" borderId="0" xfId="0"/>
    <xf numFmtId="0" fontId="3" fillId="0" borderId="0" xfId="0" applyFont="1" applyBorder="1"/>
    <xf numFmtId="0" fontId="3" fillId="0" borderId="0" xfId="0" applyFont="1"/>
    <xf numFmtId="0" fontId="0" fillId="0" borderId="0" xfId="0" applyBorder="1"/>
    <xf numFmtId="165" fontId="2" fillId="0" borderId="5" xfId="0" applyNumberFormat="1" applyFont="1" applyFill="1" applyBorder="1" applyAlignment="1">
      <alignment horizontal="center" wrapText="1"/>
    </xf>
    <xf numFmtId="166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0" fillId="0" borderId="5" xfId="0" applyBorder="1"/>
    <xf numFmtId="2" fontId="3" fillId="0" borderId="5" xfId="0" applyNumberFormat="1" applyFont="1" applyBorder="1"/>
    <xf numFmtId="0" fontId="3" fillId="0" borderId="5" xfId="0" applyFont="1" applyBorder="1"/>
    <xf numFmtId="0" fontId="2" fillId="0" borderId="5" xfId="0" applyFont="1" applyFill="1" applyBorder="1" applyAlignment="1">
      <alignment horizontal="left"/>
    </xf>
    <xf numFmtId="2" fontId="0" fillId="0" borderId="0" xfId="0" applyNumberFormat="1"/>
    <xf numFmtId="2" fontId="3" fillId="0" borderId="0" xfId="0" applyNumberFormat="1" applyFont="1"/>
    <xf numFmtId="0" fontId="0" fillId="0" borderId="0" xfId="0" applyFill="1" applyBorder="1"/>
    <xf numFmtId="14" fontId="3" fillId="0" borderId="5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3" fillId="0" borderId="5" xfId="0" applyNumberFormat="1" applyFont="1" applyBorder="1"/>
    <xf numFmtId="0" fontId="0" fillId="0" borderId="0" xfId="0" applyProtection="1"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/>
    <xf numFmtId="4" fontId="2" fillId="2" borderId="5" xfId="0" applyNumberFormat="1" applyFont="1" applyFill="1" applyBorder="1"/>
    <xf numFmtId="0" fontId="3" fillId="2" borderId="5" xfId="0" applyFont="1" applyFill="1" applyBorder="1"/>
    <xf numFmtId="4" fontId="0" fillId="0" borderId="0" xfId="0" applyNumberFormat="1"/>
    <xf numFmtId="49" fontId="3" fillId="0" borderId="5" xfId="0" applyNumberFormat="1" applyFont="1" applyBorder="1" applyAlignment="1">
      <alignment horizontal="center"/>
    </xf>
    <xf numFmtId="2" fontId="3" fillId="2" borderId="5" xfId="0" applyNumberFormat="1" applyFont="1" applyFill="1" applyBorder="1"/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2" fontId="8" fillId="0" borderId="5" xfId="0" applyNumberFormat="1" applyFont="1" applyBorder="1"/>
    <xf numFmtId="14" fontId="3" fillId="0" borderId="5" xfId="0" applyNumberFormat="1" applyFont="1" applyBorder="1"/>
    <xf numFmtId="2" fontId="3" fillId="0" borderId="5" xfId="0" applyNumberFormat="1" applyFont="1" applyFill="1" applyBorder="1"/>
    <xf numFmtId="49" fontId="2" fillId="0" borderId="5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/>
    <xf numFmtId="4" fontId="2" fillId="3" borderId="5" xfId="0" applyNumberFormat="1" applyFont="1" applyFill="1" applyBorder="1"/>
    <xf numFmtId="164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164" fontId="3" fillId="0" borderId="5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4" fontId="3" fillId="0" borderId="5" xfId="0" applyNumberFormat="1" applyFont="1" applyFill="1" applyBorder="1"/>
    <xf numFmtId="14" fontId="3" fillId="0" borderId="5" xfId="0" applyNumberFormat="1" applyFont="1" applyFill="1" applyBorder="1"/>
    <xf numFmtId="4" fontId="1" fillId="0" borderId="5" xfId="0" applyNumberFormat="1" applyFont="1" applyFill="1" applyBorder="1"/>
    <xf numFmtId="0" fontId="9" fillId="0" borderId="5" xfId="0" applyFont="1" applyFill="1" applyBorder="1"/>
    <xf numFmtId="2" fontId="2" fillId="2" borderId="5" xfId="0" applyNumberFormat="1" applyFont="1" applyFill="1" applyBorder="1"/>
    <xf numFmtId="0" fontId="1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2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right"/>
    </xf>
    <xf numFmtId="14" fontId="3" fillId="0" borderId="5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2" fontId="12" fillId="0" borderId="5" xfId="0" applyNumberFormat="1" applyFont="1" applyBorder="1"/>
    <xf numFmtId="2" fontId="13" fillId="0" borderId="5" xfId="0" applyNumberFormat="1" applyFont="1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2" fillId="0" borderId="5" xfId="0" applyFont="1" applyBorder="1"/>
    <xf numFmtId="0" fontId="0" fillId="2" borderId="5" xfId="0" applyFill="1" applyBorder="1"/>
    <xf numFmtId="0" fontId="13" fillId="0" borderId="5" xfId="0" applyFont="1" applyBorder="1" applyAlignment="1">
      <alignment horizontal="center"/>
    </xf>
    <xf numFmtId="2" fontId="0" fillId="0" borderId="5" xfId="0" applyNumberFormat="1" applyBorder="1"/>
    <xf numFmtId="2" fontId="3" fillId="0" borderId="0" xfId="0" applyNumberFormat="1" applyFont="1" applyFill="1" applyBorder="1" applyProtection="1">
      <protection locked="0"/>
    </xf>
    <xf numFmtId="0" fontId="13" fillId="0" borderId="5" xfId="0" applyFont="1" applyFill="1" applyBorder="1" applyAlignment="1">
      <alignment horizontal="center"/>
    </xf>
    <xf numFmtId="0" fontId="13" fillId="0" borderId="5" xfId="0" applyFont="1" applyBorder="1"/>
    <xf numFmtId="0" fontId="13" fillId="0" borderId="5" xfId="0" applyFont="1" applyFill="1" applyBorder="1"/>
    <xf numFmtId="14" fontId="13" fillId="0" borderId="5" xfId="0" applyNumberFormat="1" applyFont="1" applyBorder="1" applyAlignment="1">
      <alignment horizontal="center"/>
    </xf>
    <xf numFmtId="14" fontId="13" fillId="0" borderId="5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0" borderId="0" xfId="0" applyFont="1"/>
    <xf numFmtId="0" fontId="14" fillId="0" borderId="5" xfId="0" applyFont="1" applyBorder="1"/>
    <xf numFmtId="168" fontId="13" fillId="0" borderId="5" xfId="0" applyNumberFormat="1" applyFont="1" applyBorder="1"/>
    <xf numFmtId="0" fontId="13" fillId="0" borderId="0" xfId="0" applyFont="1" applyFill="1" applyBorder="1"/>
    <xf numFmtId="168" fontId="16" fillId="2" borderId="5" xfId="0" applyNumberFormat="1" applyFont="1" applyFill="1" applyBorder="1"/>
    <xf numFmtId="168" fontId="13" fillId="2" borderId="5" xfId="0" applyNumberFormat="1" applyFont="1" applyFill="1" applyBorder="1"/>
    <xf numFmtId="2" fontId="13" fillId="2" borderId="5" xfId="0" applyNumberFormat="1" applyFont="1" applyFill="1" applyBorder="1"/>
    <xf numFmtId="168" fontId="13" fillId="0" borderId="0" xfId="0" applyNumberFormat="1" applyFont="1"/>
    <xf numFmtId="0" fontId="13" fillId="6" borderId="5" xfId="0" applyFont="1" applyFill="1" applyBorder="1" applyAlignment="1">
      <alignment horizontal="center"/>
    </xf>
    <xf numFmtId="0" fontId="13" fillId="6" borderId="5" xfId="0" applyFont="1" applyFill="1" applyBorder="1"/>
    <xf numFmtId="14" fontId="13" fillId="6" borderId="5" xfId="0" applyNumberFormat="1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/>
    <xf numFmtId="14" fontId="16" fillId="0" borderId="5" xfId="0" applyNumberFormat="1" applyFont="1" applyFill="1" applyBorder="1" applyAlignment="1">
      <alignment horizontal="center"/>
    </xf>
    <xf numFmtId="0" fontId="13" fillId="0" borderId="0" xfId="0" applyFont="1" applyFill="1"/>
    <xf numFmtId="2" fontId="13" fillId="0" borderId="0" xfId="0" applyNumberFormat="1" applyFont="1" applyFill="1" applyBorder="1"/>
    <xf numFmtId="2" fontId="16" fillId="2" borderId="5" xfId="0" applyNumberFormat="1" applyFont="1" applyFill="1" applyBorder="1"/>
    <xf numFmtId="2" fontId="13" fillId="6" borderId="5" xfId="0" applyNumberFormat="1" applyFont="1" applyFill="1" applyBorder="1"/>
    <xf numFmtId="2" fontId="13" fillId="0" borderId="0" xfId="0" applyNumberFormat="1" applyFont="1"/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8" fontId="13" fillId="0" borderId="0" xfId="0" applyNumberFormat="1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14" fontId="13" fillId="0" borderId="18" xfId="0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0" borderId="10" xfId="0" applyFont="1" applyBorder="1"/>
    <xf numFmtId="168" fontId="13" fillId="0" borderId="10" xfId="0" applyNumberFormat="1" applyFont="1" applyBorder="1"/>
    <xf numFmtId="168" fontId="13" fillId="2" borderId="10" xfId="0" applyNumberFormat="1" applyFont="1" applyFill="1" applyBorder="1"/>
    <xf numFmtId="165" fontId="16" fillId="0" borderId="15" xfId="0" applyNumberFormat="1" applyFont="1" applyFill="1" applyBorder="1" applyAlignment="1">
      <alignment horizontal="center" wrapText="1"/>
    </xf>
    <xf numFmtId="166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/>
    <xf numFmtId="4" fontId="16" fillId="0" borderId="15" xfId="0" applyNumberFormat="1" applyFont="1" applyFill="1" applyBorder="1" applyAlignment="1">
      <alignment horizontal="right"/>
    </xf>
    <xf numFmtId="0" fontId="13" fillId="0" borderId="15" xfId="0" applyFont="1" applyBorder="1"/>
    <xf numFmtId="2" fontId="13" fillId="0" borderId="15" xfId="0" applyNumberFormat="1" applyFont="1" applyBorder="1"/>
    <xf numFmtId="165" fontId="16" fillId="0" borderId="5" xfId="0" applyNumberFormat="1" applyFont="1" applyFill="1" applyBorder="1" applyAlignment="1">
      <alignment horizontal="center" wrapText="1"/>
    </xf>
    <xf numFmtId="166" fontId="16" fillId="0" borderId="5" xfId="0" applyNumberFormat="1" applyFont="1" applyFill="1" applyBorder="1" applyAlignment="1">
      <alignment horizontal="center"/>
    </xf>
    <xf numFmtId="4" fontId="16" fillId="0" borderId="5" xfId="0" applyNumberFormat="1" applyFont="1" applyFill="1" applyBorder="1" applyAlignment="1">
      <alignment horizontal="right"/>
    </xf>
    <xf numFmtId="167" fontId="16" fillId="0" borderId="5" xfId="0" applyNumberFormat="1" applyFont="1" applyFill="1" applyBorder="1" applyAlignment="1">
      <alignment horizontal="center"/>
    </xf>
    <xf numFmtId="2" fontId="16" fillId="0" borderId="5" xfId="0" applyNumberFormat="1" applyFont="1" applyFill="1" applyBorder="1"/>
    <xf numFmtId="14" fontId="17" fillId="0" borderId="5" xfId="0" applyNumberFormat="1" applyFont="1" applyFill="1" applyBorder="1" applyAlignment="1">
      <alignment horizontal="center"/>
    </xf>
    <xf numFmtId="4" fontId="13" fillId="0" borderId="5" xfId="0" applyNumberFormat="1" applyFont="1" applyFill="1" applyBorder="1" applyAlignment="1">
      <alignment horizontal="right"/>
    </xf>
    <xf numFmtId="2" fontId="16" fillId="5" borderId="5" xfId="0" applyNumberFormat="1" applyFont="1" applyFill="1" applyBorder="1"/>
    <xf numFmtId="0" fontId="16" fillId="0" borderId="5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center"/>
    </xf>
    <xf numFmtId="4" fontId="16" fillId="0" borderId="14" xfId="0" applyNumberFormat="1" applyFont="1" applyFill="1" applyBorder="1" applyAlignment="1">
      <alignment horizontal="right"/>
    </xf>
    <xf numFmtId="2" fontId="16" fillId="3" borderId="5" xfId="0" applyNumberFormat="1" applyFont="1" applyFill="1" applyBorder="1"/>
    <xf numFmtId="2" fontId="13" fillId="0" borderId="5" xfId="0" applyNumberFormat="1" applyFont="1" applyFill="1" applyBorder="1"/>
    <xf numFmtId="4" fontId="13" fillId="0" borderId="5" xfId="0" applyNumberFormat="1" applyFont="1" applyBorder="1"/>
    <xf numFmtId="2" fontId="15" fillId="0" borderId="5" xfId="0" applyNumberFormat="1" applyFont="1" applyFill="1" applyBorder="1"/>
    <xf numFmtId="4" fontId="13" fillId="0" borderId="0" xfId="0" applyNumberFormat="1" applyFont="1"/>
    <xf numFmtId="2" fontId="15" fillId="4" borderId="0" xfId="0" applyNumberFormat="1" applyFont="1" applyFill="1"/>
    <xf numFmtId="2" fontId="13" fillId="0" borderId="20" xfId="0" applyNumberFormat="1" applyFont="1" applyBorder="1"/>
    <xf numFmtId="164" fontId="13" fillId="0" borderId="5" xfId="0" applyNumberFormat="1" applyFont="1" applyFill="1" applyBorder="1" applyAlignment="1">
      <alignment horizontal="center"/>
    </xf>
    <xf numFmtId="0" fontId="3" fillId="6" borderId="0" xfId="0" applyFont="1" applyFill="1" applyBorder="1" applyProtection="1">
      <protection locked="0"/>
    </xf>
    <xf numFmtId="4" fontId="3" fillId="6" borderId="5" xfId="0" applyNumberFormat="1" applyFont="1" applyFill="1" applyBorder="1"/>
    <xf numFmtId="4" fontId="2" fillId="6" borderId="5" xfId="0" applyNumberFormat="1" applyFont="1" applyFill="1" applyBorder="1"/>
    <xf numFmtId="4" fontId="11" fillId="6" borderId="5" xfId="0" applyNumberFormat="1" applyFont="1" applyFill="1" applyBorder="1"/>
    <xf numFmtId="2" fontId="3" fillId="6" borderId="5" xfId="0" applyNumberFormat="1" applyFont="1" applyFill="1" applyBorder="1"/>
    <xf numFmtId="2" fontId="2" fillId="6" borderId="5" xfId="0" applyNumberFormat="1" applyFont="1" applyFill="1" applyBorder="1"/>
    <xf numFmtId="0" fontId="0" fillId="6" borderId="5" xfId="0" applyFill="1" applyBorder="1"/>
    <xf numFmtId="2" fontId="12" fillId="6" borderId="5" xfId="0" applyNumberFormat="1" applyFont="1" applyFill="1" applyBorder="1"/>
    <xf numFmtId="2" fontId="8" fillId="6" borderId="5" xfId="0" applyNumberFormat="1" applyFont="1" applyFill="1" applyBorder="1"/>
    <xf numFmtId="0" fontId="3" fillId="6" borderId="5" xfId="0" applyFont="1" applyFill="1" applyBorder="1"/>
    <xf numFmtId="4" fontId="0" fillId="6" borderId="0" xfId="0" applyNumberFormat="1" applyFill="1"/>
    <xf numFmtId="0" fontId="0" fillId="6" borderId="0" xfId="0" applyFill="1"/>
    <xf numFmtId="0" fontId="13" fillId="0" borderId="10" xfId="0" applyFont="1" applyFill="1" applyBorder="1"/>
    <xf numFmtId="14" fontId="13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" fontId="13" fillId="0" borderId="5" xfId="0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8" fillId="0" borderId="0" xfId="0" applyFont="1"/>
    <xf numFmtId="0" fontId="13" fillId="0" borderId="5" xfId="0" applyFont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3" fillId="6" borderId="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2" fontId="15" fillId="0" borderId="5" xfId="0" applyNumberFormat="1" applyFont="1" applyBorder="1"/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8" fillId="0" borderId="0" xfId="0" applyFont="1" applyFill="1" applyBorder="1"/>
    <xf numFmtId="0" fontId="13" fillId="0" borderId="5" xfId="0" applyFont="1" applyFill="1" applyBorder="1" applyAlignment="1"/>
    <xf numFmtId="0" fontId="13" fillId="6" borderId="5" xfId="0" applyFont="1" applyFill="1" applyBorder="1" applyAlignment="1"/>
    <xf numFmtId="0" fontId="0" fillId="0" borderId="0" xfId="0" applyAlignment="1"/>
    <xf numFmtId="0" fontId="13" fillId="0" borderId="0" xfId="0" applyFont="1" applyBorder="1" applyAlignment="1">
      <alignment horizontal="center"/>
    </xf>
    <xf numFmtId="2" fontId="13" fillId="2" borderId="15" xfId="0" applyNumberFormat="1" applyFont="1" applyFill="1" applyBorder="1"/>
    <xf numFmtId="0" fontId="13" fillId="6" borderId="15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3" fillId="6" borderId="15" xfId="0" applyFont="1" applyFill="1" applyBorder="1"/>
    <xf numFmtId="0" fontId="13" fillId="6" borderId="15" xfId="0" applyFont="1" applyFill="1" applyBorder="1" applyAlignment="1"/>
    <xf numFmtId="14" fontId="13" fillId="0" borderId="15" xfId="0" applyNumberFormat="1" applyFont="1" applyBorder="1" applyAlignment="1">
      <alignment horizontal="center"/>
    </xf>
    <xf numFmtId="2" fontId="16" fillId="2" borderId="15" xfId="0" applyNumberFormat="1" applyFont="1" applyFill="1" applyBorder="1"/>
    <xf numFmtId="2" fontId="13" fillId="0" borderId="23" xfId="0" applyNumberFormat="1" applyFont="1" applyBorder="1"/>
    <xf numFmtId="0" fontId="13" fillId="6" borderId="8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3" fillId="6" borderId="8" xfId="0" applyFont="1" applyFill="1" applyBorder="1" applyAlignment="1"/>
    <xf numFmtId="14" fontId="13" fillId="0" borderId="8" xfId="0" applyNumberFormat="1" applyFont="1" applyBorder="1" applyAlignment="1">
      <alignment horizontal="center"/>
    </xf>
    <xf numFmtId="2" fontId="16" fillId="2" borderId="8" xfId="0" applyNumberFormat="1" applyFont="1" applyFill="1" applyBorder="1"/>
    <xf numFmtId="2" fontId="13" fillId="0" borderId="8" xfId="0" applyNumberFormat="1" applyFont="1" applyBorder="1"/>
    <xf numFmtId="2" fontId="13" fillId="0" borderId="24" xfId="0" applyNumberFormat="1" applyFont="1" applyBorder="1"/>
    <xf numFmtId="2" fontId="15" fillId="0" borderId="8" xfId="0" applyNumberFormat="1" applyFont="1" applyBorder="1"/>
    <xf numFmtId="0" fontId="13" fillId="6" borderId="7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16" xfId="0" applyFont="1" applyFill="1" applyBorder="1"/>
    <xf numFmtId="0" fontId="13" fillId="6" borderId="2" xfId="0" applyFont="1" applyFill="1" applyBorder="1"/>
    <xf numFmtId="0" fontId="15" fillId="2" borderId="18" xfId="0" applyFont="1" applyFill="1" applyBorder="1" applyAlignment="1">
      <alignment horizontal="center"/>
    </xf>
    <xf numFmtId="0" fontId="13" fillId="6" borderId="20" xfId="0" applyFont="1" applyFill="1" applyBorder="1" applyAlignment="1"/>
    <xf numFmtId="14" fontId="13" fillId="0" borderId="20" xfId="0" applyNumberFormat="1" applyFont="1" applyBorder="1" applyAlignment="1">
      <alignment horizontal="center"/>
    </xf>
    <xf numFmtId="0" fontId="13" fillId="6" borderId="26" xfId="0" applyFont="1" applyFill="1" applyBorder="1" applyAlignment="1"/>
    <xf numFmtId="0" fontId="13" fillId="6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4" fontId="13" fillId="0" borderId="10" xfId="0" applyNumberFormat="1" applyFont="1" applyBorder="1" applyAlignment="1">
      <alignment horizontal="center"/>
    </xf>
    <xf numFmtId="2" fontId="15" fillId="2" borderId="15" xfId="0" applyNumberFormat="1" applyFont="1" applyFill="1" applyBorder="1"/>
    <xf numFmtId="0" fontId="19" fillId="7" borderId="11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2" fontId="15" fillId="0" borderId="21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68" fontId="15" fillId="0" borderId="5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4">
    <cellStyle name="Moneda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232</xdr:row>
      <xdr:rowOff>0</xdr:rowOff>
    </xdr:from>
    <xdr:to>
      <xdr:col>8</xdr:col>
      <xdr:colOff>304800</xdr:colOff>
      <xdr:row>234</xdr:row>
      <xdr:rowOff>0</xdr:rowOff>
    </xdr:to>
    <xdr:sp macro="" textlink="">
      <xdr:nvSpPr>
        <xdr:cNvPr id="4097" name="AutoShape 1" descr="blob:https://web.whatsapp.com/158ce30e-e048-4de3-b6bc-cc974d24bc29"/>
        <xdr:cNvSpPr>
          <a:spLocks noChangeAspect="1" noChangeArrowheads="1"/>
        </xdr:cNvSpPr>
      </xdr:nvSpPr>
      <xdr:spPr bwMode="auto">
        <a:xfrm>
          <a:off x="802005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232</xdr:row>
      <xdr:rowOff>0</xdr:rowOff>
    </xdr:from>
    <xdr:to>
      <xdr:col>8</xdr:col>
      <xdr:colOff>304800</xdr:colOff>
      <xdr:row>234</xdr:row>
      <xdr:rowOff>0</xdr:rowOff>
    </xdr:to>
    <xdr:sp macro="" textlink="">
      <xdr:nvSpPr>
        <xdr:cNvPr id="4098" name="AutoShape 2" descr="blob:https://web.whatsapp.com/158ce30e-e048-4de3-b6bc-cc974d24bc29"/>
        <xdr:cNvSpPr>
          <a:spLocks noChangeAspect="1" noChangeArrowheads="1"/>
        </xdr:cNvSpPr>
      </xdr:nvSpPr>
      <xdr:spPr bwMode="auto">
        <a:xfrm>
          <a:off x="802005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232</xdr:row>
      <xdr:rowOff>0</xdr:rowOff>
    </xdr:from>
    <xdr:to>
      <xdr:col>8</xdr:col>
      <xdr:colOff>304800</xdr:colOff>
      <xdr:row>234</xdr:row>
      <xdr:rowOff>0</xdr:rowOff>
    </xdr:to>
    <xdr:sp macro="" textlink="">
      <xdr:nvSpPr>
        <xdr:cNvPr id="4099" name="AutoShape 3" descr="blob:https://web.whatsapp.com/158ce30e-e048-4de3-b6bc-cc974d24bc29"/>
        <xdr:cNvSpPr>
          <a:spLocks noChangeAspect="1" noChangeArrowheads="1"/>
        </xdr:cNvSpPr>
      </xdr:nvSpPr>
      <xdr:spPr bwMode="auto">
        <a:xfrm>
          <a:off x="8020050" y="3539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580654</xdr:colOff>
      <xdr:row>1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71429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685429</xdr:colOff>
      <xdr:row>3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71429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685429</xdr:colOff>
      <xdr:row>1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71429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retaria1-pc\siniestros%20ravisur\CUADRO%20ESTADISTICO%20SINIESTROS%20AFOCAT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ENERO"/>
      <sheetName val="XVEH-ENERO"/>
      <sheetName val="FEBRERO"/>
      <sheetName val="XVEH-FEBRERO"/>
      <sheetName val="MARZO"/>
      <sheetName val="XVEH-MARZO"/>
      <sheetName val="ABRIL"/>
      <sheetName val="XVEH-ABRIL"/>
      <sheetName val="MAYO"/>
      <sheetName val="XVEH-M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0"/>
  <sheetViews>
    <sheetView topLeftCell="L1" workbookViewId="0">
      <pane ySplit="6" topLeftCell="A222" activePane="bottomLeft" state="frozen"/>
      <selection pane="bottomLeft" activeCell="M231" sqref="M231"/>
    </sheetView>
  </sheetViews>
  <sheetFormatPr baseColWidth="10" defaultRowHeight="15" x14ac:dyDescent="0.25"/>
  <cols>
    <col min="2" max="2" width="8.85546875" customWidth="1"/>
    <col min="3" max="3" width="7.28515625" style="154" customWidth="1"/>
    <col min="4" max="4" width="29.140625" customWidth="1"/>
    <col min="5" max="5" width="17.42578125" style="166" customWidth="1"/>
    <col min="6" max="6" width="12.28515625" customWidth="1"/>
    <col min="45" max="45" width="11.85546875" bestFit="1" customWidth="1"/>
  </cols>
  <sheetData>
    <row r="1" spans="1:19" s="77" customFormat="1" ht="6.75" customHeight="1" thickBot="1" x14ac:dyDescent="0.25">
      <c r="A1" s="102"/>
      <c r="B1" s="71"/>
      <c r="C1" s="153"/>
      <c r="D1" s="73"/>
      <c r="E1" s="164"/>
      <c r="F1" s="134"/>
      <c r="G1" s="128"/>
      <c r="H1" s="128"/>
      <c r="I1" s="128"/>
      <c r="J1" s="128"/>
      <c r="K1" s="94"/>
      <c r="L1" s="94"/>
      <c r="M1" s="94"/>
      <c r="N1" s="94"/>
      <c r="O1" s="94"/>
      <c r="P1" s="94"/>
      <c r="Q1" s="94"/>
      <c r="R1" s="94"/>
      <c r="S1" s="94"/>
    </row>
    <row r="2" spans="1:19" s="77" customFormat="1" ht="16.5" thickBot="1" x14ac:dyDescent="0.25">
      <c r="A2" s="198" t="s">
        <v>9393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200"/>
    </row>
    <row r="3" spans="1:19" s="159" customFormat="1" ht="15" customHeight="1" x14ac:dyDescent="0.25">
      <c r="A3" s="201" t="s">
        <v>0</v>
      </c>
      <c r="B3" s="202" t="s">
        <v>1</v>
      </c>
      <c r="C3" s="203" t="s">
        <v>2</v>
      </c>
      <c r="D3" s="204" t="s">
        <v>3</v>
      </c>
      <c r="E3" s="205" t="s">
        <v>4</v>
      </c>
      <c r="F3" s="208" t="s">
        <v>5</v>
      </c>
      <c r="G3" s="209" t="s">
        <v>6</v>
      </c>
      <c r="H3" s="209"/>
      <c r="I3" s="209" t="s">
        <v>7</v>
      </c>
      <c r="J3" s="209"/>
      <c r="K3" s="210" t="s">
        <v>8</v>
      </c>
      <c r="L3" s="210"/>
      <c r="M3" s="210" t="s">
        <v>9</v>
      </c>
      <c r="N3" s="210"/>
      <c r="O3" s="210" t="s">
        <v>10</v>
      </c>
      <c r="P3" s="210"/>
      <c r="Q3" s="215" t="s">
        <v>11</v>
      </c>
      <c r="R3" s="215" t="s">
        <v>12</v>
      </c>
      <c r="S3" s="217" t="s">
        <v>13</v>
      </c>
    </row>
    <row r="4" spans="1:19" s="159" customFormat="1" ht="12" x14ac:dyDescent="0.25">
      <c r="A4" s="201"/>
      <c r="B4" s="202"/>
      <c r="C4" s="203"/>
      <c r="D4" s="204"/>
      <c r="E4" s="206"/>
      <c r="F4" s="208"/>
      <c r="G4" s="211" t="s">
        <v>14</v>
      </c>
      <c r="H4" s="203" t="s">
        <v>15</v>
      </c>
      <c r="I4" s="211" t="s">
        <v>14</v>
      </c>
      <c r="J4" s="211" t="s">
        <v>15</v>
      </c>
      <c r="K4" s="213" t="s">
        <v>14</v>
      </c>
      <c r="L4" s="211" t="s">
        <v>15</v>
      </c>
      <c r="M4" s="211" t="s">
        <v>14</v>
      </c>
      <c r="N4" s="211" t="s">
        <v>15</v>
      </c>
      <c r="O4" s="211" t="s">
        <v>14</v>
      </c>
      <c r="P4" s="211" t="s">
        <v>15</v>
      </c>
      <c r="Q4" s="211"/>
      <c r="R4" s="211"/>
      <c r="S4" s="218"/>
    </row>
    <row r="5" spans="1:19" s="159" customFormat="1" ht="12" x14ac:dyDescent="0.25">
      <c r="A5" s="201"/>
      <c r="B5" s="202"/>
      <c r="C5" s="203"/>
      <c r="D5" s="204"/>
      <c r="E5" s="206"/>
      <c r="F5" s="208"/>
      <c r="G5" s="211"/>
      <c r="H5" s="203"/>
      <c r="I5" s="211"/>
      <c r="J5" s="211"/>
      <c r="K5" s="213"/>
      <c r="L5" s="211"/>
      <c r="M5" s="211"/>
      <c r="N5" s="211"/>
      <c r="O5" s="211"/>
      <c r="P5" s="211"/>
      <c r="Q5" s="211"/>
      <c r="R5" s="211"/>
      <c r="S5" s="218"/>
    </row>
    <row r="6" spans="1:19" s="159" customFormat="1" ht="12" x14ac:dyDescent="0.25">
      <c r="A6" s="201"/>
      <c r="B6" s="202"/>
      <c r="C6" s="203"/>
      <c r="D6" s="204"/>
      <c r="E6" s="207"/>
      <c r="F6" s="208"/>
      <c r="G6" s="211"/>
      <c r="H6" s="212"/>
      <c r="I6" s="211"/>
      <c r="J6" s="211"/>
      <c r="K6" s="214"/>
      <c r="L6" s="216"/>
      <c r="M6" s="216"/>
      <c r="N6" s="216"/>
      <c r="O6" s="216"/>
      <c r="P6" s="216"/>
      <c r="Q6" s="216"/>
      <c r="R6" s="216"/>
      <c r="S6" s="219"/>
    </row>
    <row r="7" spans="1:19" s="77" customFormat="1" ht="12" x14ac:dyDescent="0.2">
      <c r="A7" s="85" t="s">
        <v>8877</v>
      </c>
      <c r="B7" s="85" t="s">
        <v>8878</v>
      </c>
      <c r="C7" s="88">
        <v>1</v>
      </c>
      <c r="D7" s="86" t="s">
        <v>9068</v>
      </c>
      <c r="E7" s="85" t="s">
        <v>19</v>
      </c>
      <c r="F7" s="87">
        <v>43466</v>
      </c>
      <c r="G7" s="95">
        <f>123+103.03+244.6+6874.68+130.25+338.99+41.3+75.99+41.3</f>
        <v>7973.14</v>
      </c>
      <c r="H7" s="63"/>
      <c r="I7" s="63">
        <f>930+930+930+930+480</f>
        <v>4200</v>
      </c>
      <c r="J7" s="63"/>
      <c r="K7" s="133"/>
      <c r="L7" s="63"/>
      <c r="M7" s="63"/>
      <c r="N7" s="63"/>
      <c r="O7" s="63"/>
      <c r="P7" s="63"/>
      <c r="Q7" s="63">
        <f>+G7+I7+K7+M7+O7</f>
        <v>12173.14</v>
      </c>
      <c r="R7" s="63">
        <f>+H7+J7+L7+N7+P7</f>
        <v>0</v>
      </c>
      <c r="S7" s="63">
        <f>+Q7+R7</f>
        <v>12173.14</v>
      </c>
    </row>
    <row r="8" spans="1:19" s="77" customFormat="1" ht="12" x14ac:dyDescent="0.2">
      <c r="A8" s="85" t="s">
        <v>8881</v>
      </c>
      <c r="B8" s="85" t="s">
        <v>8884</v>
      </c>
      <c r="C8" s="88">
        <v>2</v>
      </c>
      <c r="D8" s="86" t="s">
        <v>8879</v>
      </c>
      <c r="E8" s="85" t="s">
        <v>19</v>
      </c>
      <c r="F8" s="87">
        <v>43468</v>
      </c>
      <c r="G8" s="95">
        <f>240+41.3</f>
        <v>281.3</v>
      </c>
      <c r="H8" s="63"/>
      <c r="I8" s="63"/>
      <c r="J8" s="63"/>
      <c r="K8" s="133"/>
      <c r="L8" s="63"/>
      <c r="M8" s="63"/>
      <c r="N8" s="63"/>
      <c r="O8" s="63"/>
      <c r="P8" s="63"/>
      <c r="Q8" s="63">
        <f t="shared" ref="Q8:R53" si="0">+G8+I8+K8+M8+O8</f>
        <v>281.3</v>
      </c>
      <c r="R8" s="63">
        <f t="shared" si="0"/>
        <v>0</v>
      </c>
      <c r="S8" s="63">
        <f t="shared" ref="S8:S53" si="1">+Q8+R8</f>
        <v>281.3</v>
      </c>
    </row>
    <row r="9" spans="1:19" s="77" customFormat="1" ht="12" x14ac:dyDescent="0.2">
      <c r="A9" s="85" t="s">
        <v>8882</v>
      </c>
      <c r="B9" s="85" t="s">
        <v>8885</v>
      </c>
      <c r="C9" s="88">
        <v>3</v>
      </c>
      <c r="D9" s="86" t="s">
        <v>9284</v>
      </c>
      <c r="E9" s="85" t="s">
        <v>19</v>
      </c>
      <c r="F9" s="74">
        <v>43470</v>
      </c>
      <c r="G9" s="95">
        <f>196.55+539.46+80.33+457.93+457.93</f>
        <v>1732.2</v>
      </c>
      <c r="H9" s="63"/>
      <c r="I9" s="63">
        <f>930+930+1860</f>
        <v>3720</v>
      </c>
      <c r="J9" s="63"/>
      <c r="K9" s="133"/>
      <c r="L9" s="63"/>
      <c r="M9" s="63"/>
      <c r="N9" s="63"/>
      <c r="O9" s="63"/>
      <c r="P9" s="63"/>
      <c r="Q9" s="63">
        <f t="shared" si="0"/>
        <v>5452.2</v>
      </c>
      <c r="R9" s="63">
        <f t="shared" si="0"/>
        <v>0</v>
      </c>
      <c r="S9" s="63">
        <f t="shared" si="1"/>
        <v>5452.2</v>
      </c>
    </row>
    <row r="10" spans="1:19" s="77" customFormat="1" ht="12" x14ac:dyDescent="0.2">
      <c r="A10" s="85" t="s">
        <v>8883</v>
      </c>
      <c r="B10" s="85" t="s">
        <v>8886</v>
      </c>
      <c r="C10" s="88">
        <v>4</v>
      </c>
      <c r="D10" s="86" t="s">
        <v>8880</v>
      </c>
      <c r="E10" s="85" t="s">
        <v>19</v>
      </c>
      <c r="F10" s="74">
        <v>43472</v>
      </c>
      <c r="G10" s="95">
        <f>140+1111.75+2454.11+101.57+59+267.86</f>
        <v>4134.29</v>
      </c>
      <c r="H10" s="63"/>
      <c r="I10" s="63">
        <v>4200</v>
      </c>
      <c r="J10" s="63"/>
      <c r="K10" s="133"/>
      <c r="L10" s="63"/>
      <c r="M10" s="63"/>
      <c r="N10" s="63"/>
      <c r="O10" s="63"/>
      <c r="P10" s="63"/>
      <c r="Q10" s="63">
        <f t="shared" si="0"/>
        <v>8334.2900000000009</v>
      </c>
      <c r="R10" s="63">
        <f t="shared" si="0"/>
        <v>0</v>
      </c>
      <c r="S10" s="63">
        <f t="shared" si="1"/>
        <v>8334.2900000000009</v>
      </c>
    </row>
    <row r="11" spans="1:19" s="77" customFormat="1" ht="12" x14ac:dyDescent="0.2">
      <c r="A11" s="85" t="s">
        <v>8908</v>
      </c>
      <c r="B11" s="85" t="s">
        <v>8907</v>
      </c>
      <c r="C11" s="88">
        <v>5</v>
      </c>
      <c r="D11" s="86" t="s">
        <v>8887</v>
      </c>
      <c r="E11" s="85" t="s">
        <v>19</v>
      </c>
      <c r="F11" s="74">
        <v>43472</v>
      </c>
      <c r="G11" s="95">
        <f>198.24+16.11</f>
        <v>214.35000000000002</v>
      </c>
      <c r="H11" s="63"/>
      <c r="I11" s="63"/>
      <c r="J11" s="63"/>
      <c r="K11" s="63"/>
      <c r="L11" s="63"/>
      <c r="M11" s="63"/>
      <c r="N11" s="63"/>
      <c r="O11" s="63"/>
      <c r="P11" s="63"/>
      <c r="Q11" s="63">
        <f t="shared" si="0"/>
        <v>214.35000000000002</v>
      </c>
      <c r="R11" s="63">
        <f t="shared" si="0"/>
        <v>0</v>
      </c>
      <c r="S11" s="63">
        <f t="shared" si="1"/>
        <v>214.35000000000002</v>
      </c>
    </row>
    <row r="12" spans="1:19" s="77" customFormat="1" ht="12" x14ac:dyDescent="0.2">
      <c r="A12" s="85" t="s">
        <v>8908</v>
      </c>
      <c r="B12" s="85" t="s">
        <v>8907</v>
      </c>
      <c r="C12" s="88">
        <v>5</v>
      </c>
      <c r="D12" s="86" t="s">
        <v>8888</v>
      </c>
      <c r="E12" s="85" t="s">
        <v>19</v>
      </c>
      <c r="F12" s="74">
        <v>43472</v>
      </c>
      <c r="G12" s="95">
        <f>300+400+558+842.52+225.03+259.6+282.02+5.02</f>
        <v>2872.19</v>
      </c>
      <c r="H12" s="63"/>
      <c r="I12" s="63">
        <v>1023</v>
      </c>
      <c r="J12" s="63"/>
      <c r="K12" s="63"/>
      <c r="L12" s="63"/>
      <c r="M12" s="63"/>
      <c r="N12" s="63"/>
      <c r="O12" s="63"/>
      <c r="P12" s="63"/>
      <c r="Q12" s="63">
        <f t="shared" si="0"/>
        <v>3895.19</v>
      </c>
      <c r="R12" s="63">
        <f t="shared" si="0"/>
        <v>0</v>
      </c>
      <c r="S12" s="63">
        <f t="shared" si="1"/>
        <v>3895.19</v>
      </c>
    </row>
    <row r="13" spans="1:19" s="77" customFormat="1" ht="12" x14ac:dyDescent="0.2">
      <c r="A13" s="85" t="s">
        <v>8908</v>
      </c>
      <c r="B13" s="85" t="s">
        <v>8907</v>
      </c>
      <c r="C13" s="88">
        <v>5</v>
      </c>
      <c r="D13" s="86" t="s">
        <v>8889</v>
      </c>
      <c r="E13" s="85" t="s">
        <v>19</v>
      </c>
      <c r="F13" s="74">
        <v>43472</v>
      </c>
      <c r="G13" s="95">
        <f>558+754.02+57.05+123.9+7.14</f>
        <v>1500.1100000000001</v>
      </c>
      <c r="H13" s="63"/>
      <c r="I13" s="63"/>
      <c r="J13" s="63"/>
      <c r="K13" s="63"/>
      <c r="L13" s="63"/>
      <c r="M13" s="160"/>
      <c r="N13" s="63"/>
      <c r="O13" s="63"/>
      <c r="P13" s="63"/>
      <c r="Q13" s="63">
        <f t="shared" si="0"/>
        <v>1500.1100000000001</v>
      </c>
      <c r="R13" s="63">
        <f t="shared" si="0"/>
        <v>0</v>
      </c>
      <c r="S13" s="63">
        <f t="shared" si="1"/>
        <v>1500.1100000000001</v>
      </c>
    </row>
    <row r="14" spans="1:19" s="77" customFormat="1" ht="12" x14ac:dyDescent="0.2">
      <c r="A14" s="85" t="s">
        <v>8908</v>
      </c>
      <c r="B14" s="85" t="s">
        <v>8907</v>
      </c>
      <c r="C14" s="88">
        <v>5</v>
      </c>
      <c r="D14" s="86" t="s">
        <v>8890</v>
      </c>
      <c r="E14" s="85" t="s">
        <v>19</v>
      </c>
      <c r="F14" s="74">
        <v>43472</v>
      </c>
      <c r="G14" s="95">
        <f>56.64+3.13</f>
        <v>59.77</v>
      </c>
      <c r="H14" s="63"/>
      <c r="I14" s="63"/>
      <c r="J14" s="63"/>
      <c r="K14" s="63"/>
      <c r="L14" s="63"/>
      <c r="M14" s="63"/>
      <c r="N14" s="63"/>
      <c r="O14" s="63"/>
      <c r="P14" s="63"/>
      <c r="Q14" s="63">
        <f t="shared" si="0"/>
        <v>59.77</v>
      </c>
      <c r="R14" s="63">
        <f t="shared" si="0"/>
        <v>0</v>
      </c>
      <c r="S14" s="63">
        <f t="shared" si="1"/>
        <v>59.77</v>
      </c>
    </row>
    <row r="15" spans="1:19" s="77" customFormat="1" ht="12" x14ac:dyDescent="0.2">
      <c r="A15" s="85" t="s">
        <v>8908</v>
      </c>
      <c r="B15" s="85" t="s">
        <v>8907</v>
      </c>
      <c r="C15" s="88">
        <v>5</v>
      </c>
      <c r="D15" s="86" t="s">
        <v>8891</v>
      </c>
      <c r="E15" s="85" t="s">
        <v>19</v>
      </c>
      <c r="F15" s="74">
        <v>43472</v>
      </c>
      <c r="G15" s="95">
        <f>47.2+2.36</f>
        <v>49.56</v>
      </c>
      <c r="H15" s="63"/>
      <c r="I15" s="63"/>
      <c r="J15" s="63"/>
      <c r="K15" s="63"/>
      <c r="L15" s="63"/>
      <c r="M15" s="63"/>
      <c r="N15" s="63"/>
      <c r="O15" s="63"/>
      <c r="P15" s="63"/>
      <c r="Q15" s="63">
        <f t="shared" si="0"/>
        <v>49.56</v>
      </c>
      <c r="R15" s="63">
        <f t="shared" si="0"/>
        <v>0</v>
      </c>
      <c r="S15" s="63">
        <f t="shared" si="1"/>
        <v>49.56</v>
      </c>
    </row>
    <row r="16" spans="1:19" s="77" customFormat="1" ht="12" x14ac:dyDescent="0.2">
      <c r="A16" s="85" t="s">
        <v>8908</v>
      </c>
      <c r="B16" s="85" t="s">
        <v>8907</v>
      </c>
      <c r="C16" s="88">
        <v>5</v>
      </c>
      <c r="D16" s="86" t="s">
        <v>9172</v>
      </c>
      <c r="E16" s="85" t="s">
        <v>19</v>
      </c>
      <c r="F16" s="74">
        <v>43472</v>
      </c>
      <c r="G16" s="95">
        <f>47.2+4.13</f>
        <v>51.330000000000005</v>
      </c>
      <c r="H16" s="63"/>
      <c r="I16" s="63"/>
      <c r="J16" s="63"/>
      <c r="K16" s="63"/>
      <c r="L16" s="63"/>
      <c r="M16" s="63"/>
      <c r="N16" s="63"/>
      <c r="O16" s="63"/>
      <c r="P16" s="63"/>
      <c r="Q16" s="63">
        <f t="shared" si="0"/>
        <v>51.330000000000005</v>
      </c>
      <c r="R16" s="63">
        <f t="shared" si="0"/>
        <v>0</v>
      </c>
      <c r="S16" s="63">
        <f t="shared" si="1"/>
        <v>51.330000000000005</v>
      </c>
    </row>
    <row r="17" spans="1:19" s="77" customFormat="1" ht="12" x14ac:dyDescent="0.2">
      <c r="A17" s="85" t="s">
        <v>8908</v>
      </c>
      <c r="B17" s="85" t="s">
        <v>8907</v>
      </c>
      <c r="C17" s="88">
        <v>5</v>
      </c>
      <c r="D17" s="86" t="s">
        <v>8892</v>
      </c>
      <c r="E17" s="85" t="s">
        <v>19</v>
      </c>
      <c r="F17" s="74">
        <v>43472</v>
      </c>
      <c r="G17" s="95">
        <f>75.52+0.94</f>
        <v>76.459999999999994</v>
      </c>
      <c r="H17" s="63"/>
      <c r="I17" s="63"/>
      <c r="J17" s="63"/>
      <c r="K17" s="63"/>
      <c r="L17" s="63"/>
      <c r="M17" s="63"/>
      <c r="N17" s="63"/>
      <c r="O17" s="63"/>
      <c r="P17" s="63"/>
      <c r="Q17" s="63">
        <f t="shared" si="0"/>
        <v>76.459999999999994</v>
      </c>
      <c r="R17" s="63">
        <f t="shared" si="0"/>
        <v>0</v>
      </c>
      <c r="S17" s="63">
        <f t="shared" si="1"/>
        <v>76.459999999999994</v>
      </c>
    </row>
    <row r="18" spans="1:19" s="77" customFormat="1" ht="12" x14ac:dyDescent="0.2">
      <c r="A18" s="85" t="s">
        <v>8908</v>
      </c>
      <c r="B18" s="85" t="s">
        <v>8907</v>
      </c>
      <c r="C18" s="88">
        <v>5</v>
      </c>
      <c r="D18" s="86" t="s">
        <v>8893</v>
      </c>
      <c r="E18" s="85" t="s">
        <v>19</v>
      </c>
      <c r="F18" s="74">
        <v>43472</v>
      </c>
      <c r="G18" s="95">
        <f>205.32+1.42</f>
        <v>206.73999999999998</v>
      </c>
      <c r="H18" s="63"/>
      <c r="I18" s="63"/>
      <c r="J18" s="63"/>
      <c r="K18" s="133"/>
      <c r="L18" s="63"/>
      <c r="M18" s="63"/>
      <c r="N18" s="63"/>
      <c r="O18" s="63"/>
      <c r="P18" s="63"/>
      <c r="Q18" s="63">
        <f t="shared" si="0"/>
        <v>206.73999999999998</v>
      </c>
      <c r="R18" s="63">
        <f t="shared" si="0"/>
        <v>0</v>
      </c>
      <c r="S18" s="63">
        <f t="shared" si="1"/>
        <v>206.73999999999998</v>
      </c>
    </row>
    <row r="19" spans="1:19" s="77" customFormat="1" ht="12" x14ac:dyDescent="0.2">
      <c r="A19" s="85" t="s">
        <v>8908</v>
      </c>
      <c r="B19" s="85" t="s">
        <v>8907</v>
      </c>
      <c r="C19" s="88">
        <v>5</v>
      </c>
      <c r="D19" s="73" t="s">
        <v>8894</v>
      </c>
      <c r="E19" s="85" t="s">
        <v>19</v>
      </c>
      <c r="F19" s="74">
        <v>43472</v>
      </c>
      <c r="G19" s="95">
        <f>139.71+41.3+154.58+9.15</f>
        <v>344.74</v>
      </c>
      <c r="H19" s="63"/>
      <c r="I19" s="63">
        <v>713</v>
      </c>
      <c r="J19" s="63"/>
      <c r="K19" s="133"/>
      <c r="L19" s="63"/>
      <c r="M19" s="63"/>
      <c r="N19" s="63"/>
      <c r="O19" s="63"/>
      <c r="P19" s="63"/>
      <c r="Q19" s="63">
        <f t="shared" si="0"/>
        <v>1057.74</v>
      </c>
      <c r="R19" s="63">
        <f t="shared" si="0"/>
        <v>0</v>
      </c>
      <c r="S19" s="63">
        <f t="shared" si="1"/>
        <v>1057.74</v>
      </c>
    </row>
    <row r="20" spans="1:19" s="77" customFormat="1" ht="12" x14ac:dyDescent="0.2">
      <c r="A20" s="85" t="s">
        <v>8908</v>
      </c>
      <c r="B20" s="85" t="s">
        <v>8907</v>
      </c>
      <c r="C20" s="88">
        <v>5</v>
      </c>
      <c r="D20" s="86" t="s">
        <v>8895</v>
      </c>
      <c r="E20" s="85" t="s">
        <v>19</v>
      </c>
      <c r="F20" s="74">
        <v>43472</v>
      </c>
      <c r="G20" s="95">
        <f>194.7+3.78+41.3+4.72+59+59+205+295</f>
        <v>862.5</v>
      </c>
      <c r="H20" s="63"/>
      <c r="I20" s="63">
        <v>1240</v>
      </c>
      <c r="J20" s="63"/>
      <c r="K20" s="133"/>
      <c r="L20" s="63"/>
      <c r="M20" s="63"/>
      <c r="N20" s="63"/>
      <c r="O20" s="63"/>
      <c r="P20" s="63"/>
      <c r="Q20" s="63">
        <f t="shared" si="0"/>
        <v>2102.5</v>
      </c>
      <c r="R20" s="63">
        <f t="shared" si="0"/>
        <v>0</v>
      </c>
      <c r="S20" s="63">
        <f t="shared" si="1"/>
        <v>2102.5</v>
      </c>
    </row>
    <row r="21" spans="1:19" s="77" customFormat="1" ht="12" x14ac:dyDescent="0.2">
      <c r="A21" s="85" t="s">
        <v>8908</v>
      </c>
      <c r="B21" s="85" t="s">
        <v>8907</v>
      </c>
      <c r="C21" s="88">
        <v>5</v>
      </c>
      <c r="D21" s="86" t="s">
        <v>8896</v>
      </c>
      <c r="E21" s="85" t="s">
        <v>19</v>
      </c>
      <c r="F21" s="74">
        <v>43472</v>
      </c>
      <c r="G21" s="95">
        <f>75.52+1.36</f>
        <v>76.88</v>
      </c>
      <c r="H21" s="63"/>
      <c r="I21" s="63"/>
      <c r="J21" s="63"/>
      <c r="K21" s="133"/>
      <c r="L21" s="63"/>
      <c r="M21" s="63"/>
      <c r="N21" s="63"/>
      <c r="O21" s="63"/>
      <c r="P21" s="63"/>
      <c r="Q21" s="63">
        <f t="shared" si="0"/>
        <v>76.88</v>
      </c>
      <c r="R21" s="63">
        <f t="shared" si="0"/>
        <v>0</v>
      </c>
      <c r="S21" s="63">
        <f t="shared" si="1"/>
        <v>76.88</v>
      </c>
    </row>
    <row r="22" spans="1:19" s="77" customFormat="1" ht="12" x14ac:dyDescent="0.2">
      <c r="A22" s="85" t="s">
        <v>8908</v>
      </c>
      <c r="B22" s="85" t="s">
        <v>8907</v>
      </c>
      <c r="C22" s="88">
        <v>5</v>
      </c>
      <c r="D22" s="86" t="s">
        <v>9171</v>
      </c>
      <c r="E22" s="85" t="s">
        <v>19</v>
      </c>
      <c r="F22" s="74">
        <v>43472</v>
      </c>
      <c r="G22" s="95">
        <f>56.64+1.24</f>
        <v>57.88</v>
      </c>
      <c r="H22" s="63"/>
      <c r="I22" s="63"/>
      <c r="J22" s="63"/>
      <c r="K22" s="133"/>
      <c r="L22" s="63"/>
      <c r="M22" s="63"/>
      <c r="N22" s="63"/>
      <c r="O22" s="63"/>
      <c r="P22" s="63"/>
      <c r="Q22" s="63">
        <f t="shared" si="0"/>
        <v>57.88</v>
      </c>
      <c r="R22" s="63">
        <f t="shared" si="0"/>
        <v>0</v>
      </c>
      <c r="S22" s="63">
        <f t="shared" si="1"/>
        <v>57.88</v>
      </c>
    </row>
    <row r="23" spans="1:19" s="77" customFormat="1" ht="12" x14ac:dyDescent="0.2">
      <c r="A23" s="85" t="s">
        <v>8908</v>
      </c>
      <c r="B23" s="85" t="s">
        <v>8907</v>
      </c>
      <c r="C23" s="88">
        <v>5</v>
      </c>
      <c r="D23" s="86" t="s">
        <v>8897</v>
      </c>
      <c r="E23" s="85" t="s">
        <v>19</v>
      </c>
      <c r="F23" s="74">
        <v>43472</v>
      </c>
      <c r="G23" s="95">
        <f>92.04+0.83</f>
        <v>92.87</v>
      </c>
      <c r="H23" s="63"/>
      <c r="I23" s="63"/>
      <c r="J23" s="63"/>
      <c r="K23" s="133"/>
      <c r="L23" s="63"/>
      <c r="M23" s="63"/>
      <c r="N23" s="63"/>
      <c r="O23" s="63"/>
      <c r="P23" s="63"/>
      <c r="Q23" s="63">
        <f t="shared" si="0"/>
        <v>92.87</v>
      </c>
      <c r="R23" s="63">
        <f t="shared" si="0"/>
        <v>0</v>
      </c>
      <c r="S23" s="63">
        <f t="shared" si="1"/>
        <v>92.87</v>
      </c>
    </row>
    <row r="24" spans="1:19" s="77" customFormat="1" ht="12" x14ac:dyDescent="0.2">
      <c r="A24" s="85" t="s">
        <v>8908</v>
      </c>
      <c r="B24" s="85" t="s">
        <v>8907</v>
      </c>
      <c r="C24" s="88">
        <v>5</v>
      </c>
      <c r="D24" s="86" t="s">
        <v>8898</v>
      </c>
      <c r="E24" s="85" t="s">
        <v>19</v>
      </c>
      <c r="F24" s="74">
        <v>43472</v>
      </c>
      <c r="G24" s="95">
        <f>185.26+20.47</f>
        <v>205.73</v>
      </c>
      <c r="H24" s="63"/>
      <c r="I24" s="63"/>
      <c r="J24" s="63"/>
      <c r="K24" s="133"/>
      <c r="L24" s="63"/>
      <c r="M24" s="63"/>
      <c r="N24" s="63"/>
      <c r="O24" s="63"/>
      <c r="P24" s="63"/>
      <c r="Q24" s="63">
        <f t="shared" si="0"/>
        <v>205.73</v>
      </c>
      <c r="R24" s="63">
        <f t="shared" si="0"/>
        <v>0</v>
      </c>
      <c r="S24" s="63">
        <f t="shared" si="1"/>
        <v>205.73</v>
      </c>
    </row>
    <row r="25" spans="1:19" s="77" customFormat="1" ht="12" x14ac:dyDescent="0.2">
      <c r="A25" s="85" t="s">
        <v>8908</v>
      </c>
      <c r="B25" s="85" t="s">
        <v>8907</v>
      </c>
      <c r="C25" s="88">
        <v>5</v>
      </c>
      <c r="D25" s="86" t="s">
        <v>8899</v>
      </c>
      <c r="E25" s="85" t="s">
        <v>19</v>
      </c>
      <c r="F25" s="74">
        <v>43472</v>
      </c>
      <c r="G25" s="95">
        <f>151.04+14.69</f>
        <v>165.73</v>
      </c>
      <c r="H25" s="63"/>
      <c r="I25" s="63"/>
      <c r="J25" s="63"/>
      <c r="K25" s="133"/>
      <c r="L25" s="63"/>
      <c r="M25" s="63"/>
      <c r="N25" s="63"/>
      <c r="O25" s="63"/>
      <c r="P25" s="63"/>
      <c r="Q25" s="63">
        <f t="shared" si="0"/>
        <v>165.73</v>
      </c>
      <c r="R25" s="63">
        <f t="shared" si="0"/>
        <v>0</v>
      </c>
      <c r="S25" s="63">
        <f t="shared" si="1"/>
        <v>165.73</v>
      </c>
    </row>
    <row r="26" spans="1:19" s="77" customFormat="1" ht="12" x14ac:dyDescent="0.2">
      <c r="A26" s="85" t="s">
        <v>8908</v>
      </c>
      <c r="B26" s="85" t="s">
        <v>8907</v>
      </c>
      <c r="C26" s="88">
        <v>5</v>
      </c>
      <c r="D26" s="86" t="s">
        <v>9067</v>
      </c>
      <c r="E26" s="85" t="s">
        <v>19</v>
      </c>
      <c r="F26" s="74">
        <v>43472</v>
      </c>
      <c r="G26" s="95">
        <f>82.93+592.75+72.52+169.92+3.78+41.3</f>
        <v>963.19999999999993</v>
      </c>
      <c r="H26" s="63"/>
      <c r="I26" s="63">
        <v>992</v>
      </c>
      <c r="J26" s="63"/>
      <c r="K26" s="133"/>
      <c r="L26" s="63"/>
      <c r="M26" s="63"/>
      <c r="N26" s="63"/>
      <c r="O26" s="63"/>
      <c r="P26" s="63"/>
      <c r="Q26" s="63">
        <f t="shared" si="0"/>
        <v>1955.1999999999998</v>
      </c>
      <c r="R26" s="63">
        <f t="shared" si="0"/>
        <v>0</v>
      </c>
      <c r="S26" s="63">
        <f t="shared" si="1"/>
        <v>1955.1999999999998</v>
      </c>
    </row>
    <row r="27" spans="1:19" s="77" customFormat="1" ht="12" x14ac:dyDescent="0.2">
      <c r="A27" s="85" t="s">
        <v>8908</v>
      </c>
      <c r="B27" s="85" t="s">
        <v>8907</v>
      </c>
      <c r="C27" s="88">
        <v>5</v>
      </c>
      <c r="D27" s="86" t="s">
        <v>8900</v>
      </c>
      <c r="E27" s="85" t="s">
        <v>19</v>
      </c>
      <c r="F27" s="74">
        <v>43472</v>
      </c>
      <c r="G27" s="95">
        <f>169.92+2.42</f>
        <v>172.33999999999997</v>
      </c>
      <c r="H27" s="63"/>
      <c r="I27" s="63"/>
      <c r="J27" s="63"/>
      <c r="K27" s="133"/>
      <c r="L27" s="63"/>
      <c r="M27" s="63"/>
      <c r="N27" s="63"/>
      <c r="O27" s="63"/>
      <c r="P27" s="63"/>
      <c r="Q27" s="63">
        <f t="shared" si="0"/>
        <v>172.33999999999997</v>
      </c>
      <c r="R27" s="63">
        <f t="shared" si="0"/>
        <v>0</v>
      </c>
      <c r="S27" s="63">
        <f t="shared" si="1"/>
        <v>172.33999999999997</v>
      </c>
    </row>
    <row r="28" spans="1:19" s="77" customFormat="1" ht="12" x14ac:dyDescent="0.2">
      <c r="A28" s="85" t="s">
        <v>8908</v>
      </c>
      <c r="B28" s="85" t="s">
        <v>8907</v>
      </c>
      <c r="C28" s="88">
        <v>5</v>
      </c>
      <c r="D28" s="86" t="s">
        <v>8901</v>
      </c>
      <c r="E28" s="85" t="s">
        <v>19</v>
      </c>
      <c r="F28" s="74">
        <v>43472</v>
      </c>
      <c r="G28" s="95">
        <f>115.09+72.52+212.4+49.97</f>
        <v>449.98</v>
      </c>
      <c r="H28" s="63"/>
      <c r="I28" s="63">
        <v>620</v>
      </c>
      <c r="J28" s="63"/>
      <c r="K28" s="133"/>
      <c r="L28" s="63"/>
      <c r="M28" s="63"/>
      <c r="N28" s="63"/>
      <c r="O28" s="63"/>
      <c r="P28" s="63"/>
      <c r="Q28" s="63">
        <f t="shared" si="0"/>
        <v>1069.98</v>
      </c>
      <c r="R28" s="63">
        <f t="shared" si="0"/>
        <v>0</v>
      </c>
      <c r="S28" s="63">
        <f t="shared" si="1"/>
        <v>1069.98</v>
      </c>
    </row>
    <row r="29" spans="1:19" s="77" customFormat="1" ht="12" x14ac:dyDescent="0.2">
      <c r="A29" s="85" t="s">
        <v>8908</v>
      </c>
      <c r="B29" s="85" t="s">
        <v>8907</v>
      </c>
      <c r="C29" s="88">
        <v>5</v>
      </c>
      <c r="D29" s="86" t="s">
        <v>8902</v>
      </c>
      <c r="E29" s="85" t="s">
        <v>19</v>
      </c>
      <c r="F29" s="74">
        <v>43472</v>
      </c>
      <c r="G29" s="95">
        <f>112.1+1.18</f>
        <v>113.28</v>
      </c>
      <c r="H29" s="63"/>
      <c r="I29" s="63"/>
      <c r="J29" s="63"/>
      <c r="K29" s="133"/>
      <c r="L29" s="63"/>
      <c r="M29" s="63"/>
      <c r="N29" s="63"/>
      <c r="O29" s="63"/>
      <c r="P29" s="63"/>
      <c r="Q29" s="63">
        <f t="shared" si="0"/>
        <v>113.28</v>
      </c>
      <c r="R29" s="63">
        <f t="shared" si="0"/>
        <v>0</v>
      </c>
      <c r="S29" s="63">
        <f t="shared" si="1"/>
        <v>113.28</v>
      </c>
    </row>
    <row r="30" spans="1:19" s="77" customFormat="1" ht="12" x14ac:dyDescent="0.2">
      <c r="A30" s="85" t="s">
        <v>8908</v>
      </c>
      <c r="B30" s="85" t="s">
        <v>8907</v>
      </c>
      <c r="C30" s="88">
        <v>5</v>
      </c>
      <c r="D30" s="86" t="s">
        <v>8903</v>
      </c>
      <c r="E30" s="85" t="s">
        <v>19</v>
      </c>
      <c r="F30" s="74">
        <v>43472</v>
      </c>
      <c r="G30" s="95">
        <f>780+2345.51+41.3+62.69+83.37+41.3+41.3+41.3+78.19+1983.18+2069.72+777.68+78.19</f>
        <v>8423.7300000000014</v>
      </c>
      <c r="H30" s="63"/>
      <c r="I30" s="63">
        <f>930+930+930+930+465</f>
        <v>4185</v>
      </c>
      <c r="J30" s="63"/>
      <c r="K30" s="133"/>
      <c r="L30" s="63"/>
      <c r="M30" s="63"/>
      <c r="N30" s="63"/>
      <c r="O30" s="63"/>
      <c r="P30" s="63"/>
      <c r="Q30" s="63">
        <f t="shared" si="0"/>
        <v>12608.730000000001</v>
      </c>
      <c r="R30" s="63">
        <f t="shared" si="0"/>
        <v>0</v>
      </c>
      <c r="S30" s="63">
        <f t="shared" si="1"/>
        <v>12608.730000000001</v>
      </c>
    </row>
    <row r="31" spans="1:19" s="77" customFormat="1" ht="12" x14ac:dyDescent="0.2">
      <c r="A31" s="85" t="s">
        <v>8908</v>
      </c>
      <c r="B31" s="85" t="s">
        <v>8907</v>
      </c>
      <c r="C31" s="88">
        <v>5</v>
      </c>
      <c r="D31" s="86" t="s">
        <v>8904</v>
      </c>
      <c r="E31" s="85" t="s">
        <v>19</v>
      </c>
      <c r="F31" s="74">
        <v>43472</v>
      </c>
      <c r="G31" s="95">
        <f>740+1811.3+635.49+295</f>
        <v>3481.79</v>
      </c>
      <c r="H31" s="63"/>
      <c r="I31" s="63">
        <f>2790+930+480</f>
        <v>4200</v>
      </c>
      <c r="J31" s="63"/>
      <c r="K31" s="133"/>
      <c r="L31" s="63"/>
      <c r="M31" s="63"/>
      <c r="N31" s="63"/>
      <c r="O31" s="63"/>
      <c r="P31" s="63"/>
      <c r="Q31" s="63">
        <f t="shared" si="0"/>
        <v>7681.79</v>
      </c>
      <c r="R31" s="63">
        <f t="shared" si="0"/>
        <v>0</v>
      </c>
      <c r="S31" s="63">
        <f t="shared" si="1"/>
        <v>7681.79</v>
      </c>
    </row>
    <row r="32" spans="1:19" s="77" customFormat="1" ht="12" x14ac:dyDescent="0.2">
      <c r="A32" s="85" t="s">
        <v>8908</v>
      </c>
      <c r="B32" s="85" t="s">
        <v>8907</v>
      </c>
      <c r="C32" s="88">
        <v>5</v>
      </c>
      <c r="D32" s="86" t="s">
        <v>8905</v>
      </c>
      <c r="E32" s="85" t="s">
        <v>19</v>
      </c>
      <c r="F32" s="74">
        <v>43472</v>
      </c>
      <c r="G32" s="95">
        <f>161.66+6.43</f>
        <v>168.09</v>
      </c>
      <c r="H32" s="63"/>
      <c r="I32" s="63"/>
      <c r="J32" s="63"/>
      <c r="K32" s="133"/>
      <c r="L32" s="63"/>
      <c r="M32" s="63"/>
      <c r="N32" s="63"/>
      <c r="O32" s="63"/>
      <c r="P32" s="63"/>
      <c r="Q32" s="63">
        <f t="shared" si="0"/>
        <v>168.09</v>
      </c>
      <c r="R32" s="63">
        <f t="shared" si="0"/>
        <v>0</v>
      </c>
      <c r="S32" s="63">
        <f t="shared" si="1"/>
        <v>168.09</v>
      </c>
    </row>
    <row r="33" spans="1:19" s="77" customFormat="1" ht="12" x14ac:dyDescent="0.2">
      <c r="A33" s="85" t="s">
        <v>8908</v>
      </c>
      <c r="B33" s="85" t="s">
        <v>8907</v>
      </c>
      <c r="C33" s="88">
        <v>5</v>
      </c>
      <c r="D33" s="73" t="s">
        <v>8906</v>
      </c>
      <c r="E33" s="85" t="s">
        <v>19</v>
      </c>
      <c r="F33" s="74">
        <v>43472</v>
      </c>
      <c r="G33" s="95">
        <f>41.3+61.34+122.55+163.44+41.3+52.32+52.32+46.81+84.3+41.3+123.89+41.3+41.3+230.1+38.06+41.3+106.33</f>
        <v>1329.2599999999998</v>
      </c>
      <c r="H33" s="63"/>
      <c r="I33" s="63">
        <f>1271</f>
        <v>1271</v>
      </c>
      <c r="J33" s="63"/>
      <c r="K33" s="133"/>
      <c r="L33" s="63"/>
      <c r="M33" s="63"/>
      <c r="N33" s="63"/>
      <c r="O33" s="63"/>
      <c r="P33" s="63"/>
      <c r="Q33" s="63">
        <f t="shared" si="0"/>
        <v>2600.2599999999998</v>
      </c>
      <c r="R33" s="63">
        <f t="shared" si="0"/>
        <v>0</v>
      </c>
      <c r="S33" s="63">
        <f t="shared" si="1"/>
        <v>2600.2599999999998</v>
      </c>
    </row>
    <row r="34" spans="1:19" s="77" customFormat="1" ht="12" x14ac:dyDescent="0.2">
      <c r="A34" s="85" t="s">
        <v>8911</v>
      </c>
      <c r="B34" s="85" t="s">
        <v>8930</v>
      </c>
      <c r="C34" s="88">
        <v>6</v>
      </c>
      <c r="D34" s="86" t="s">
        <v>8949</v>
      </c>
      <c r="E34" s="85" t="s">
        <v>19</v>
      </c>
      <c r="F34" s="87">
        <v>43475</v>
      </c>
      <c r="G34" s="95">
        <f>300+83.42+630</f>
        <v>1013.4200000000001</v>
      </c>
      <c r="H34" s="63"/>
      <c r="I34" s="63"/>
      <c r="J34" s="63"/>
      <c r="K34" s="133"/>
      <c r="L34" s="63"/>
      <c r="M34" s="63"/>
      <c r="N34" s="63"/>
      <c r="O34" s="63"/>
      <c r="P34" s="63"/>
      <c r="Q34" s="63">
        <f t="shared" si="0"/>
        <v>1013.4200000000001</v>
      </c>
      <c r="R34" s="63">
        <f t="shared" si="0"/>
        <v>0</v>
      </c>
      <c r="S34" s="63">
        <f t="shared" si="1"/>
        <v>1013.4200000000001</v>
      </c>
    </row>
    <row r="35" spans="1:19" s="77" customFormat="1" ht="12" x14ac:dyDescent="0.2">
      <c r="A35" s="85" t="s">
        <v>8911</v>
      </c>
      <c r="B35" s="85" t="s">
        <v>8930</v>
      </c>
      <c r="C35" s="88">
        <v>6</v>
      </c>
      <c r="D35" s="86" t="s">
        <v>8950</v>
      </c>
      <c r="E35" s="85" t="s">
        <v>19</v>
      </c>
      <c r="F35" s="87">
        <v>43475</v>
      </c>
      <c r="G35" s="95">
        <f>117.17</f>
        <v>117.17</v>
      </c>
      <c r="H35" s="63"/>
      <c r="I35" s="63"/>
      <c r="J35" s="63"/>
      <c r="K35" s="133"/>
      <c r="L35" s="63"/>
      <c r="M35" s="63"/>
      <c r="N35" s="63"/>
      <c r="O35" s="63"/>
      <c r="P35" s="63"/>
      <c r="Q35" s="63">
        <f t="shared" si="0"/>
        <v>117.17</v>
      </c>
      <c r="R35" s="63">
        <f t="shared" si="0"/>
        <v>0</v>
      </c>
      <c r="S35" s="63">
        <f t="shared" si="1"/>
        <v>117.17</v>
      </c>
    </row>
    <row r="36" spans="1:19" s="77" customFormat="1" ht="12" x14ac:dyDescent="0.2">
      <c r="A36" s="85" t="s">
        <v>8911</v>
      </c>
      <c r="B36" s="85" t="s">
        <v>8930</v>
      </c>
      <c r="C36" s="88">
        <v>6</v>
      </c>
      <c r="D36" s="86" t="s">
        <v>8951</v>
      </c>
      <c r="E36" s="85" t="s">
        <v>19</v>
      </c>
      <c r="F36" s="87">
        <v>43475</v>
      </c>
      <c r="G36" s="95">
        <f>109.22</f>
        <v>109.22</v>
      </c>
      <c r="H36" s="63"/>
      <c r="I36" s="63"/>
      <c r="J36" s="63"/>
      <c r="K36" s="133"/>
      <c r="L36" s="63"/>
      <c r="M36" s="63"/>
      <c r="N36" s="63"/>
      <c r="O36" s="63"/>
      <c r="P36" s="63"/>
      <c r="Q36" s="63">
        <f t="shared" si="0"/>
        <v>109.22</v>
      </c>
      <c r="R36" s="63">
        <f t="shared" si="0"/>
        <v>0</v>
      </c>
      <c r="S36" s="63">
        <f t="shared" si="1"/>
        <v>109.22</v>
      </c>
    </row>
    <row r="37" spans="1:19" s="77" customFormat="1" ht="12" x14ac:dyDescent="0.2">
      <c r="A37" s="68" t="s">
        <v>8911</v>
      </c>
      <c r="B37" s="85" t="s">
        <v>8930</v>
      </c>
      <c r="C37" s="88">
        <v>6</v>
      </c>
      <c r="D37" s="86" t="s">
        <v>9080</v>
      </c>
      <c r="E37" s="85" t="s">
        <v>19</v>
      </c>
      <c r="F37" s="74">
        <v>43475</v>
      </c>
      <c r="G37" s="95">
        <f>300+133</f>
        <v>433</v>
      </c>
      <c r="H37" s="63"/>
      <c r="I37" s="63"/>
      <c r="J37" s="63"/>
      <c r="K37" s="133"/>
      <c r="L37" s="63"/>
      <c r="M37" s="63"/>
      <c r="N37" s="63"/>
      <c r="O37" s="63"/>
      <c r="P37" s="63"/>
      <c r="Q37" s="63">
        <f t="shared" si="0"/>
        <v>433</v>
      </c>
      <c r="R37" s="63">
        <f t="shared" si="0"/>
        <v>0</v>
      </c>
      <c r="S37" s="63">
        <f t="shared" si="1"/>
        <v>433</v>
      </c>
    </row>
    <row r="38" spans="1:19" s="77" customFormat="1" ht="12" x14ac:dyDescent="0.2">
      <c r="A38" s="68" t="s">
        <v>8911</v>
      </c>
      <c r="B38" s="85" t="s">
        <v>8930</v>
      </c>
      <c r="C38" s="88">
        <v>6</v>
      </c>
      <c r="D38" s="86" t="s">
        <v>9079</v>
      </c>
      <c r="E38" s="85" t="s">
        <v>19</v>
      </c>
      <c r="F38" s="74">
        <v>43475</v>
      </c>
      <c r="G38" s="95">
        <f>51.1</f>
        <v>51.1</v>
      </c>
      <c r="H38" s="63"/>
      <c r="I38" s="63"/>
      <c r="J38" s="63"/>
      <c r="K38" s="133"/>
      <c r="L38" s="63"/>
      <c r="M38" s="63"/>
      <c r="N38" s="63"/>
      <c r="O38" s="63"/>
      <c r="P38" s="63"/>
      <c r="Q38" s="63">
        <f t="shared" si="0"/>
        <v>51.1</v>
      </c>
      <c r="R38" s="63">
        <f t="shared" si="0"/>
        <v>0</v>
      </c>
      <c r="S38" s="63">
        <f t="shared" si="1"/>
        <v>51.1</v>
      </c>
    </row>
    <row r="39" spans="1:19" s="77" customFormat="1" ht="12" x14ac:dyDescent="0.2">
      <c r="A39" s="68" t="s">
        <v>8912</v>
      </c>
      <c r="B39" s="85" t="s">
        <v>8931</v>
      </c>
      <c r="C39" s="88">
        <v>7</v>
      </c>
      <c r="D39" s="86" t="s">
        <v>8952</v>
      </c>
      <c r="E39" s="85" t="s">
        <v>8977</v>
      </c>
      <c r="F39" s="74">
        <v>43479</v>
      </c>
      <c r="G39" s="95">
        <v>225.84</v>
      </c>
      <c r="H39" s="63"/>
      <c r="I39" s="63"/>
      <c r="J39" s="63"/>
      <c r="K39" s="133"/>
      <c r="L39" s="63"/>
      <c r="M39" s="63"/>
      <c r="N39" s="63"/>
      <c r="O39" s="63"/>
      <c r="P39" s="63"/>
      <c r="Q39" s="63">
        <f t="shared" si="0"/>
        <v>225.84</v>
      </c>
      <c r="R39" s="63">
        <f t="shared" si="0"/>
        <v>0</v>
      </c>
      <c r="S39" s="63">
        <f t="shared" si="1"/>
        <v>225.84</v>
      </c>
    </row>
    <row r="40" spans="1:19" s="77" customFormat="1" ht="12" x14ac:dyDescent="0.2">
      <c r="A40" s="68" t="s">
        <v>8913</v>
      </c>
      <c r="B40" s="85" t="s">
        <v>8932</v>
      </c>
      <c r="C40" s="88">
        <v>8</v>
      </c>
      <c r="D40" s="86" t="s">
        <v>8953</v>
      </c>
      <c r="E40" s="85" t="s">
        <v>19</v>
      </c>
      <c r="F40" s="74">
        <v>43480</v>
      </c>
      <c r="G40" s="95">
        <f>69.51+191</f>
        <v>260.51</v>
      </c>
      <c r="H40" s="63"/>
      <c r="I40" s="63"/>
      <c r="J40" s="63"/>
      <c r="K40" s="133"/>
      <c r="L40" s="63"/>
      <c r="M40" s="63"/>
      <c r="N40" s="63"/>
      <c r="O40" s="63"/>
      <c r="P40" s="63"/>
      <c r="Q40" s="63">
        <f t="shared" si="0"/>
        <v>260.51</v>
      </c>
      <c r="R40" s="63">
        <f t="shared" si="0"/>
        <v>0</v>
      </c>
      <c r="S40" s="63">
        <f t="shared" si="1"/>
        <v>260.51</v>
      </c>
    </row>
    <row r="41" spans="1:19" s="77" customFormat="1" ht="12" x14ac:dyDescent="0.2">
      <c r="A41" s="68" t="s">
        <v>8913</v>
      </c>
      <c r="B41" s="85" t="s">
        <v>8932</v>
      </c>
      <c r="C41" s="88">
        <v>8</v>
      </c>
      <c r="D41" s="86" t="s">
        <v>8954</v>
      </c>
      <c r="E41" s="85" t="s">
        <v>19</v>
      </c>
      <c r="F41" s="74">
        <v>43480</v>
      </c>
      <c r="G41" s="95">
        <v>133.15</v>
      </c>
      <c r="H41" s="63"/>
      <c r="I41" s="63"/>
      <c r="J41" s="63"/>
      <c r="K41" s="133"/>
      <c r="L41" s="63"/>
      <c r="M41" s="63"/>
      <c r="N41" s="63"/>
      <c r="O41" s="63"/>
      <c r="P41" s="63"/>
      <c r="Q41" s="63">
        <f t="shared" si="0"/>
        <v>133.15</v>
      </c>
      <c r="R41" s="63">
        <f t="shared" si="0"/>
        <v>0</v>
      </c>
      <c r="S41" s="63">
        <f t="shared" si="1"/>
        <v>133.15</v>
      </c>
    </row>
    <row r="42" spans="1:19" s="77" customFormat="1" ht="12" x14ac:dyDescent="0.2">
      <c r="A42" s="68" t="s">
        <v>8914</v>
      </c>
      <c r="B42" s="85" t="s">
        <v>8933</v>
      </c>
      <c r="C42" s="88">
        <v>9</v>
      </c>
      <c r="D42" s="86" t="s">
        <v>9073</v>
      </c>
      <c r="E42" s="85" t="s">
        <v>19</v>
      </c>
      <c r="F42" s="74">
        <v>43481</v>
      </c>
      <c r="G42" s="95">
        <f>137.42</f>
        <v>137.41999999999999</v>
      </c>
      <c r="H42" s="63"/>
      <c r="I42" s="63"/>
      <c r="J42" s="63"/>
      <c r="K42" s="133"/>
      <c r="L42" s="63"/>
      <c r="M42" s="63"/>
      <c r="N42" s="63"/>
      <c r="O42" s="63"/>
      <c r="P42" s="63"/>
      <c r="Q42" s="63">
        <f t="shared" si="0"/>
        <v>137.41999999999999</v>
      </c>
      <c r="R42" s="63">
        <f t="shared" si="0"/>
        <v>0</v>
      </c>
      <c r="S42" s="63">
        <f t="shared" si="1"/>
        <v>137.41999999999999</v>
      </c>
    </row>
    <row r="43" spans="1:19" s="77" customFormat="1" ht="12" x14ac:dyDescent="0.2">
      <c r="A43" s="68" t="s">
        <v>8915</v>
      </c>
      <c r="B43" s="85" t="s">
        <v>8934</v>
      </c>
      <c r="C43" s="88">
        <v>10</v>
      </c>
      <c r="D43" s="86" t="s">
        <v>9072</v>
      </c>
      <c r="E43" s="85" t="s">
        <v>19</v>
      </c>
      <c r="F43" s="74">
        <v>43484</v>
      </c>
      <c r="G43" s="95">
        <f>40</f>
        <v>40</v>
      </c>
      <c r="H43" s="63"/>
      <c r="I43" s="63"/>
      <c r="J43" s="63"/>
      <c r="K43" s="133"/>
      <c r="L43" s="63"/>
      <c r="M43" s="63"/>
      <c r="N43" s="63"/>
      <c r="O43" s="63"/>
      <c r="P43" s="63"/>
      <c r="Q43" s="63">
        <f t="shared" si="0"/>
        <v>40</v>
      </c>
      <c r="R43" s="63">
        <f t="shared" si="0"/>
        <v>0</v>
      </c>
      <c r="S43" s="63">
        <f t="shared" si="1"/>
        <v>40</v>
      </c>
    </row>
    <row r="44" spans="1:19" s="77" customFormat="1" ht="12" x14ac:dyDescent="0.2">
      <c r="A44" s="68" t="s">
        <v>8915</v>
      </c>
      <c r="B44" s="85" t="s">
        <v>8934</v>
      </c>
      <c r="C44" s="88">
        <v>10</v>
      </c>
      <c r="D44" s="86" t="s">
        <v>8955</v>
      </c>
      <c r="E44" s="85" t="s">
        <v>19</v>
      </c>
      <c r="F44" s="74">
        <v>43484</v>
      </c>
      <c r="G44" s="95">
        <f>72</f>
        <v>72</v>
      </c>
      <c r="H44" s="63"/>
      <c r="I44" s="63"/>
      <c r="J44" s="63"/>
      <c r="K44" s="133"/>
      <c r="L44" s="63"/>
      <c r="M44" s="63"/>
      <c r="N44" s="63"/>
      <c r="O44" s="63"/>
      <c r="P44" s="63"/>
      <c r="Q44" s="63">
        <f t="shared" si="0"/>
        <v>72</v>
      </c>
      <c r="R44" s="63">
        <f t="shared" si="0"/>
        <v>0</v>
      </c>
      <c r="S44" s="63">
        <f t="shared" si="1"/>
        <v>72</v>
      </c>
    </row>
    <row r="45" spans="1:19" s="77" customFormat="1" ht="12" x14ac:dyDescent="0.2">
      <c r="A45" s="85" t="s">
        <v>8916</v>
      </c>
      <c r="B45" s="85" t="s">
        <v>8935</v>
      </c>
      <c r="C45" s="88">
        <v>11</v>
      </c>
      <c r="D45" s="86" t="s">
        <v>8956</v>
      </c>
      <c r="E45" s="85" t="s">
        <v>19</v>
      </c>
      <c r="F45" s="74">
        <v>43487</v>
      </c>
      <c r="G45" s="95">
        <v>120.47</v>
      </c>
      <c r="H45" s="63"/>
      <c r="I45" s="63"/>
      <c r="J45" s="63"/>
      <c r="K45" s="133"/>
      <c r="L45" s="63"/>
      <c r="M45" s="63"/>
      <c r="N45" s="63"/>
      <c r="O45" s="63"/>
      <c r="P45" s="63"/>
      <c r="Q45" s="63">
        <f t="shared" si="0"/>
        <v>120.47</v>
      </c>
      <c r="R45" s="63">
        <f t="shared" si="0"/>
        <v>0</v>
      </c>
      <c r="S45" s="63">
        <f t="shared" si="1"/>
        <v>120.47</v>
      </c>
    </row>
    <row r="46" spans="1:19" s="77" customFormat="1" ht="12" x14ac:dyDescent="0.2">
      <c r="A46" s="85" t="s">
        <v>8917</v>
      </c>
      <c r="B46" s="85" t="s">
        <v>8936</v>
      </c>
      <c r="C46" s="88">
        <v>12</v>
      </c>
      <c r="D46" s="86" t="s">
        <v>9329</v>
      </c>
      <c r="E46" s="85" t="s">
        <v>19</v>
      </c>
      <c r="F46" s="74">
        <v>43487</v>
      </c>
      <c r="G46" s="95">
        <f>111.48</f>
        <v>111.48</v>
      </c>
      <c r="H46" s="63"/>
      <c r="I46" s="63"/>
      <c r="J46" s="63"/>
      <c r="K46" s="133"/>
      <c r="L46" s="63"/>
      <c r="M46" s="63"/>
      <c r="N46" s="63"/>
      <c r="O46" s="63"/>
      <c r="P46" s="63"/>
      <c r="Q46" s="63">
        <f t="shared" si="0"/>
        <v>111.48</v>
      </c>
      <c r="R46" s="63">
        <f t="shared" si="0"/>
        <v>0</v>
      </c>
      <c r="S46" s="63">
        <f t="shared" si="1"/>
        <v>111.48</v>
      </c>
    </row>
    <row r="47" spans="1:19" s="77" customFormat="1" ht="12" x14ac:dyDescent="0.2">
      <c r="A47" s="85" t="s">
        <v>8917</v>
      </c>
      <c r="B47" s="85" t="s">
        <v>8936</v>
      </c>
      <c r="C47" s="88">
        <v>12</v>
      </c>
      <c r="D47" s="86" t="s">
        <v>8957</v>
      </c>
      <c r="E47" s="85" t="s">
        <v>19</v>
      </c>
      <c r="F47" s="74">
        <v>43487</v>
      </c>
      <c r="G47" s="95">
        <f>133.22</f>
        <v>133.22</v>
      </c>
      <c r="H47" s="63"/>
      <c r="I47" s="63"/>
      <c r="J47" s="63"/>
      <c r="K47" s="133"/>
      <c r="L47" s="63"/>
      <c r="M47" s="63"/>
      <c r="N47" s="63"/>
      <c r="O47" s="63"/>
      <c r="P47" s="63"/>
      <c r="Q47" s="63">
        <f t="shared" si="0"/>
        <v>133.22</v>
      </c>
      <c r="R47" s="63">
        <f t="shared" si="0"/>
        <v>0</v>
      </c>
      <c r="S47" s="63">
        <f t="shared" si="1"/>
        <v>133.22</v>
      </c>
    </row>
    <row r="48" spans="1:19" s="77" customFormat="1" ht="12" x14ac:dyDescent="0.2">
      <c r="A48" s="85" t="s">
        <v>8917</v>
      </c>
      <c r="B48" s="85" t="s">
        <v>8936</v>
      </c>
      <c r="C48" s="88">
        <v>12</v>
      </c>
      <c r="D48" s="86" t="s">
        <v>8958</v>
      </c>
      <c r="E48" s="85" t="s">
        <v>19</v>
      </c>
      <c r="F48" s="74">
        <v>43487</v>
      </c>
      <c r="G48" s="95">
        <f>85</f>
        <v>85</v>
      </c>
      <c r="H48" s="63"/>
      <c r="I48" s="63"/>
      <c r="J48" s="63"/>
      <c r="K48" s="133"/>
      <c r="L48" s="63"/>
      <c r="M48" s="63"/>
      <c r="N48" s="63"/>
      <c r="O48" s="63"/>
      <c r="P48" s="63"/>
      <c r="Q48" s="63">
        <f t="shared" si="0"/>
        <v>85</v>
      </c>
      <c r="R48" s="63">
        <f t="shared" si="0"/>
        <v>0</v>
      </c>
      <c r="S48" s="63">
        <f t="shared" si="1"/>
        <v>85</v>
      </c>
    </row>
    <row r="49" spans="1:19" s="77" customFormat="1" ht="12" x14ac:dyDescent="0.2">
      <c r="A49" s="85" t="s">
        <v>8917</v>
      </c>
      <c r="B49" s="85" t="s">
        <v>8936</v>
      </c>
      <c r="C49" s="88">
        <v>12</v>
      </c>
      <c r="D49" s="86" t="s">
        <v>9077</v>
      </c>
      <c r="E49" s="85" t="s">
        <v>19</v>
      </c>
      <c r="F49" s="74">
        <v>43487</v>
      </c>
      <c r="G49" s="95">
        <f>240.42</f>
        <v>240.42</v>
      </c>
      <c r="H49" s="63"/>
      <c r="I49" s="63"/>
      <c r="J49" s="63"/>
      <c r="K49" s="133"/>
      <c r="L49" s="63"/>
      <c r="M49" s="63"/>
      <c r="N49" s="63"/>
      <c r="O49" s="63"/>
      <c r="P49" s="63"/>
      <c r="Q49" s="63">
        <f t="shared" si="0"/>
        <v>240.42</v>
      </c>
      <c r="R49" s="63">
        <f t="shared" si="0"/>
        <v>0</v>
      </c>
      <c r="S49" s="63">
        <f t="shared" si="1"/>
        <v>240.42</v>
      </c>
    </row>
    <row r="50" spans="1:19" s="77" customFormat="1" ht="12" x14ac:dyDescent="0.2">
      <c r="A50" s="85" t="s">
        <v>8917</v>
      </c>
      <c r="B50" s="85" t="s">
        <v>8936</v>
      </c>
      <c r="C50" s="88">
        <v>12</v>
      </c>
      <c r="D50" s="86" t="s">
        <v>8959</v>
      </c>
      <c r="E50" s="85" t="s">
        <v>19</v>
      </c>
      <c r="F50" s="74">
        <v>43487</v>
      </c>
      <c r="G50" s="95"/>
      <c r="H50" s="63"/>
      <c r="I50" s="63"/>
      <c r="J50" s="63"/>
      <c r="K50" s="133"/>
      <c r="L50" s="63"/>
      <c r="M50" s="63"/>
      <c r="N50" s="63"/>
      <c r="O50" s="63"/>
      <c r="P50" s="63"/>
      <c r="Q50" s="63">
        <f t="shared" si="0"/>
        <v>0</v>
      </c>
      <c r="R50" s="63">
        <f t="shared" si="0"/>
        <v>0</v>
      </c>
      <c r="S50" s="63">
        <f t="shared" si="1"/>
        <v>0</v>
      </c>
    </row>
    <row r="51" spans="1:19" s="77" customFormat="1" ht="12" x14ac:dyDescent="0.2">
      <c r="A51" s="85" t="s">
        <v>8917</v>
      </c>
      <c r="B51" s="85" t="s">
        <v>8936</v>
      </c>
      <c r="C51" s="88">
        <v>12</v>
      </c>
      <c r="D51" s="73" t="s">
        <v>8960</v>
      </c>
      <c r="E51" s="85" t="s">
        <v>19</v>
      </c>
      <c r="F51" s="74">
        <v>43487</v>
      </c>
      <c r="G51" s="95"/>
      <c r="H51" s="63"/>
      <c r="I51" s="63"/>
      <c r="J51" s="63"/>
      <c r="K51" s="133"/>
      <c r="L51" s="63"/>
      <c r="M51" s="63"/>
      <c r="N51" s="63"/>
      <c r="O51" s="63"/>
      <c r="P51" s="63"/>
      <c r="Q51" s="63">
        <f t="shared" si="0"/>
        <v>0</v>
      </c>
      <c r="R51" s="63">
        <f t="shared" si="0"/>
        <v>0</v>
      </c>
      <c r="S51" s="63">
        <f t="shared" si="1"/>
        <v>0</v>
      </c>
    </row>
    <row r="52" spans="1:19" s="77" customFormat="1" ht="12" x14ac:dyDescent="0.2">
      <c r="A52" s="85" t="s">
        <v>8917</v>
      </c>
      <c r="B52" s="85" t="s">
        <v>8936</v>
      </c>
      <c r="C52" s="88">
        <v>12</v>
      </c>
      <c r="D52" s="73" t="s">
        <v>8961</v>
      </c>
      <c r="E52" s="85" t="s">
        <v>19</v>
      </c>
      <c r="F52" s="74">
        <v>43487</v>
      </c>
      <c r="G52" s="95">
        <f>300+204.2</f>
        <v>504.2</v>
      </c>
      <c r="H52" s="63"/>
      <c r="I52" s="63"/>
      <c r="J52" s="63"/>
      <c r="K52" s="133"/>
      <c r="L52" s="63"/>
      <c r="M52" s="63"/>
      <c r="N52" s="63"/>
      <c r="O52" s="63"/>
      <c r="P52" s="63"/>
      <c r="Q52" s="63">
        <f t="shared" si="0"/>
        <v>504.2</v>
      </c>
      <c r="R52" s="63">
        <f t="shared" si="0"/>
        <v>0</v>
      </c>
      <c r="S52" s="63">
        <f t="shared" si="1"/>
        <v>504.2</v>
      </c>
    </row>
    <row r="53" spans="1:19" s="77" customFormat="1" ht="12" x14ac:dyDescent="0.2">
      <c r="A53" s="85" t="s">
        <v>8917</v>
      </c>
      <c r="B53" s="85" t="s">
        <v>8936</v>
      </c>
      <c r="C53" s="88">
        <v>12</v>
      </c>
      <c r="D53" s="73" t="s">
        <v>8962</v>
      </c>
      <c r="E53" s="85" t="s">
        <v>19</v>
      </c>
      <c r="F53" s="74">
        <v>43487</v>
      </c>
      <c r="G53" s="95">
        <f>259.42</f>
        <v>259.42</v>
      </c>
      <c r="H53" s="63"/>
      <c r="I53" s="63"/>
      <c r="J53" s="63"/>
      <c r="K53" s="133"/>
      <c r="L53" s="63"/>
      <c r="M53" s="63"/>
      <c r="N53" s="63"/>
      <c r="O53" s="63"/>
      <c r="P53" s="63"/>
      <c r="Q53" s="63">
        <f t="shared" si="0"/>
        <v>259.42</v>
      </c>
      <c r="R53" s="63">
        <f t="shared" si="0"/>
        <v>0</v>
      </c>
      <c r="S53" s="63">
        <f t="shared" si="1"/>
        <v>259.42</v>
      </c>
    </row>
    <row r="54" spans="1:19" s="77" customFormat="1" ht="12" x14ac:dyDescent="0.2">
      <c r="A54" s="68" t="s">
        <v>8917</v>
      </c>
      <c r="B54" s="85" t="s">
        <v>8936</v>
      </c>
      <c r="C54" s="88">
        <v>12</v>
      </c>
      <c r="D54" s="73" t="s">
        <v>9076</v>
      </c>
      <c r="E54" s="85" t="s">
        <v>19</v>
      </c>
      <c r="F54" s="74">
        <v>43487</v>
      </c>
      <c r="G54" s="95">
        <f>54.1</f>
        <v>54.1</v>
      </c>
      <c r="H54" s="63"/>
      <c r="I54" s="63"/>
      <c r="J54" s="63"/>
      <c r="K54" s="133"/>
      <c r="L54" s="63"/>
      <c r="M54" s="63"/>
      <c r="N54" s="63"/>
      <c r="O54" s="63"/>
      <c r="P54" s="63"/>
      <c r="Q54" s="63">
        <f>+G54+I54+K54+M54+O54</f>
        <v>54.1</v>
      </c>
      <c r="R54" s="63">
        <f>+H54+J54+L54+N54+P54</f>
        <v>0</v>
      </c>
      <c r="S54" s="63">
        <f>+Q54+R54</f>
        <v>54.1</v>
      </c>
    </row>
    <row r="55" spans="1:19" s="77" customFormat="1" ht="12" x14ac:dyDescent="0.2">
      <c r="A55" s="68" t="s">
        <v>8917</v>
      </c>
      <c r="B55" s="85" t="s">
        <v>8936</v>
      </c>
      <c r="C55" s="88">
        <v>12</v>
      </c>
      <c r="D55" s="73" t="s">
        <v>8963</v>
      </c>
      <c r="E55" s="85" t="s">
        <v>19</v>
      </c>
      <c r="F55" s="74">
        <v>43487</v>
      </c>
      <c r="G55" s="95">
        <f>182.8+259+273.16+41.3+101.39</f>
        <v>857.65</v>
      </c>
      <c r="H55" s="63"/>
      <c r="I55" s="63">
        <v>620</v>
      </c>
      <c r="J55" s="63"/>
      <c r="K55" s="133"/>
      <c r="L55" s="63"/>
      <c r="M55" s="63"/>
      <c r="N55" s="63"/>
      <c r="O55" s="63"/>
      <c r="P55" s="63"/>
      <c r="Q55" s="63">
        <f>+G55+I55+K55+M55+O55</f>
        <v>1477.65</v>
      </c>
      <c r="R55" s="63">
        <f>+H55+J55+L55+N55+P55</f>
        <v>0</v>
      </c>
      <c r="S55" s="63">
        <f>+Q55+R55</f>
        <v>1477.65</v>
      </c>
    </row>
    <row r="56" spans="1:19" s="77" customFormat="1" ht="12" x14ac:dyDescent="0.2">
      <c r="A56" s="68" t="s">
        <v>8917</v>
      </c>
      <c r="B56" s="85" t="s">
        <v>8936</v>
      </c>
      <c r="C56" s="88">
        <v>12</v>
      </c>
      <c r="D56" s="73" t="s">
        <v>8964</v>
      </c>
      <c r="E56" s="85" t="s">
        <v>19</v>
      </c>
      <c r="F56" s="74">
        <v>43487</v>
      </c>
      <c r="G56" s="95">
        <f>300+150.12</f>
        <v>450.12</v>
      </c>
      <c r="H56" s="63"/>
      <c r="I56" s="63"/>
      <c r="J56" s="63"/>
      <c r="K56" s="133"/>
      <c r="L56" s="63"/>
      <c r="M56" s="63"/>
      <c r="N56" s="63"/>
      <c r="O56" s="63"/>
      <c r="P56" s="63"/>
      <c r="Q56" s="63">
        <f t="shared" ref="Q56:Q98" si="2">+G56+I56+K56+M56+O56</f>
        <v>450.12</v>
      </c>
      <c r="R56" s="63">
        <f t="shared" ref="R56:R98" si="3">+H56+J56+L56+N56+P56</f>
        <v>0</v>
      </c>
      <c r="S56" s="63">
        <f t="shared" ref="S56:S98" si="4">+Q56+R56</f>
        <v>450.12</v>
      </c>
    </row>
    <row r="57" spans="1:19" s="77" customFormat="1" ht="12" x14ac:dyDescent="0.2">
      <c r="A57" s="68" t="s">
        <v>8917</v>
      </c>
      <c r="B57" s="85" t="s">
        <v>8936</v>
      </c>
      <c r="C57" s="88">
        <v>12</v>
      </c>
      <c r="D57" s="73" t="s">
        <v>9071</v>
      </c>
      <c r="E57" s="85" t="s">
        <v>19</v>
      </c>
      <c r="F57" s="74">
        <v>43487</v>
      </c>
      <c r="G57" s="95">
        <f>71.1</f>
        <v>71.099999999999994</v>
      </c>
      <c r="H57" s="63"/>
      <c r="I57" s="63"/>
      <c r="J57" s="63"/>
      <c r="K57" s="133"/>
      <c r="L57" s="63"/>
      <c r="M57" s="63"/>
      <c r="N57" s="63"/>
      <c r="O57" s="63"/>
      <c r="P57" s="63"/>
      <c r="Q57" s="63">
        <f t="shared" si="2"/>
        <v>71.099999999999994</v>
      </c>
      <c r="R57" s="63">
        <f t="shared" si="3"/>
        <v>0</v>
      </c>
      <c r="S57" s="63">
        <f t="shared" si="4"/>
        <v>71.099999999999994</v>
      </c>
    </row>
    <row r="58" spans="1:19" s="77" customFormat="1" ht="12" x14ac:dyDescent="0.2">
      <c r="A58" s="68" t="s">
        <v>8917</v>
      </c>
      <c r="B58" s="85" t="s">
        <v>8936</v>
      </c>
      <c r="C58" s="88">
        <v>12</v>
      </c>
      <c r="D58" s="73" t="s">
        <v>9075</v>
      </c>
      <c r="E58" s="85" t="s">
        <v>19</v>
      </c>
      <c r="F58" s="74">
        <v>43487</v>
      </c>
      <c r="G58" s="95">
        <f>260.42</f>
        <v>260.42</v>
      </c>
      <c r="H58" s="63"/>
      <c r="I58" s="63"/>
      <c r="J58" s="63"/>
      <c r="K58" s="133"/>
      <c r="L58" s="63"/>
      <c r="M58" s="63"/>
      <c r="N58" s="63"/>
      <c r="O58" s="63"/>
      <c r="P58" s="63"/>
      <c r="Q58" s="63">
        <f t="shared" si="2"/>
        <v>260.42</v>
      </c>
      <c r="R58" s="63">
        <f t="shared" si="3"/>
        <v>0</v>
      </c>
      <c r="S58" s="63">
        <f t="shared" si="4"/>
        <v>260.42</v>
      </c>
    </row>
    <row r="59" spans="1:19" s="77" customFormat="1" ht="12" x14ac:dyDescent="0.2">
      <c r="A59" s="68" t="s">
        <v>8917</v>
      </c>
      <c r="B59" s="85" t="s">
        <v>8936</v>
      </c>
      <c r="C59" s="88">
        <v>12</v>
      </c>
      <c r="D59" s="73" t="s">
        <v>9330</v>
      </c>
      <c r="E59" s="85" t="s">
        <v>19</v>
      </c>
      <c r="F59" s="74">
        <v>43487</v>
      </c>
      <c r="G59" s="95">
        <f>146.22</f>
        <v>146.22</v>
      </c>
      <c r="H59" s="63"/>
      <c r="I59" s="63"/>
      <c r="J59" s="63"/>
      <c r="K59" s="133"/>
      <c r="L59" s="63"/>
      <c r="M59" s="63"/>
      <c r="N59" s="63"/>
      <c r="O59" s="63"/>
      <c r="P59" s="63"/>
      <c r="Q59" s="63">
        <f t="shared" si="2"/>
        <v>146.22</v>
      </c>
      <c r="R59" s="63">
        <f t="shared" si="3"/>
        <v>0</v>
      </c>
      <c r="S59" s="63">
        <f t="shared" si="4"/>
        <v>146.22</v>
      </c>
    </row>
    <row r="60" spans="1:19" s="77" customFormat="1" ht="12" x14ac:dyDescent="0.2">
      <c r="A60" s="68" t="s">
        <v>8918</v>
      </c>
      <c r="B60" s="85" t="s">
        <v>8937</v>
      </c>
      <c r="C60" s="88">
        <v>13</v>
      </c>
      <c r="D60" s="73" t="s">
        <v>8965</v>
      </c>
      <c r="E60" s="85" t="s">
        <v>19</v>
      </c>
      <c r="F60" s="74">
        <v>43488</v>
      </c>
      <c r="G60" s="95">
        <f>300+169.72</f>
        <v>469.72</v>
      </c>
      <c r="H60" s="63"/>
      <c r="I60" s="63"/>
      <c r="J60" s="63"/>
      <c r="K60" s="133"/>
      <c r="L60" s="63"/>
      <c r="M60" s="63"/>
      <c r="N60" s="63"/>
      <c r="O60" s="63"/>
      <c r="P60" s="63"/>
      <c r="Q60" s="63">
        <f t="shared" si="2"/>
        <v>469.72</v>
      </c>
      <c r="R60" s="63">
        <f t="shared" si="3"/>
        <v>0</v>
      </c>
      <c r="S60" s="63">
        <f t="shared" si="4"/>
        <v>469.72</v>
      </c>
    </row>
    <row r="61" spans="1:19" s="77" customFormat="1" ht="12" x14ac:dyDescent="0.2">
      <c r="A61" s="68" t="s">
        <v>8919</v>
      </c>
      <c r="B61" s="85" t="s">
        <v>8938</v>
      </c>
      <c r="C61" s="88">
        <v>14</v>
      </c>
      <c r="D61" s="73" t="s">
        <v>8966</v>
      </c>
      <c r="E61" s="85" t="s">
        <v>19</v>
      </c>
      <c r="F61" s="74">
        <v>43491</v>
      </c>
      <c r="G61" s="95">
        <f>125.1+2.36+250.16</f>
        <v>377.62</v>
      </c>
      <c r="H61" s="63"/>
      <c r="I61" s="63"/>
      <c r="J61" s="63"/>
      <c r="K61" s="133"/>
      <c r="L61" s="63"/>
      <c r="M61" s="63"/>
      <c r="N61" s="63"/>
      <c r="O61" s="63"/>
      <c r="P61" s="63"/>
      <c r="Q61" s="63">
        <f t="shared" si="2"/>
        <v>377.62</v>
      </c>
      <c r="R61" s="63">
        <f t="shared" si="3"/>
        <v>0</v>
      </c>
      <c r="S61" s="63">
        <f t="shared" si="4"/>
        <v>377.62</v>
      </c>
    </row>
    <row r="62" spans="1:19" s="77" customFormat="1" ht="12" x14ac:dyDescent="0.2">
      <c r="A62" s="68" t="s">
        <v>8919</v>
      </c>
      <c r="B62" s="85" t="s">
        <v>8938</v>
      </c>
      <c r="C62" s="88">
        <v>14</v>
      </c>
      <c r="D62" s="73" t="s">
        <v>9078</v>
      </c>
      <c r="E62" s="85" t="s">
        <v>19</v>
      </c>
      <c r="F62" s="74">
        <v>43491</v>
      </c>
      <c r="G62" s="95">
        <f>300+534.54+72.45+370</f>
        <v>1276.99</v>
      </c>
      <c r="H62" s="63"/>
      <c r="I62" s="63">
        <f>930+930+930</f>
        <v>2790</v>
      </c>
      <c r="J62" s="63"/>
      <c r="K62" s="133"/>
      <c r="L62" s="63"/>
      <c r="M62" s="63"/>
      <c r="N62" s="63"/>
      <c r="O62" s="63"/>
      <c r="P62" s="63"/>
      <c r="Q62" s="63">
        <f t="shared" si="2"/>
        <v>4066.99</v>
      </c>
      <c r="R62" s="63">
        <f t="shared" si="3"/>
        <v>0</v>
      </c>
      <c r="S62" s="63">
        <f t="shared" si="4"/>
        <v>4066.99</v>
      </c>
    </row>
    <row r="63" spans="1:19" s="77" customFormat="1" ht="12" x14ac:dyDescent="0.2">
      <c r="A63" s="68" t="s">
        <v>8920</v>
      </c>
      <c r="B63" s="85" t="s">
        <v>8939</v>
      </c>
      <c r="C63" s="88">
        <v>15</v>
      </c>
      <c r="D63" s="73" t="s">
        <v>8967</v>
      </c>
      <c r="E63" s="85" t="s">
        <v>19</v>
      </c>
      <c r="F63" s="74">
        <v>43491</v>
      </c>
      <c r="G63" s="95"/>
      <c r="H63" s="63"/>
      <c r="I63" s="63"/>
      <c r="J63" s="63"/>
      <c r="K63" s="133"/>
      <c r="L63" s="63"/>
      <c r="M63" s="63"/>
      <c r="N63" s="63"/>
      <c r="O63" s="63"/>
      <c r="P63" s="63"/>
      <c r="Q63" s="63">
        <f t="shared" si="2"/>
        <v>0</v>
      </c>
      <c r="R63" s="63">
        <f t="shared" si="3"/>
        <v>0</v>
      </c>
      <c r="S63" s="63">
        <f t="shared" si="4"/>
        <v>0</v>
      </c>
    </row>
    <row r="64" spans="1:19" s="77" customFormat="1" ht="12" x14ac:dyDescent="0.2">
      <c r="A64" s="68" t="s">
        <v>8921</v>
      </c>
      <c r="B64" s="85" t="s">
        <v>8940</v>
      </c>
      <c r="C64" s="88">
        <v>16</v>
      </c>
      <c r="D64" s="73" t="s">
        <v>9066</v>
      </c>
      <c r="E64" s="85" t="s">
        <v>19</v>
      </c>
      <c r="F64" s="74">
        <v>43491</v>
      </c>
      <c r="G64" s="95">
        <f>452.83</f>
        <v>452.83</v>
      </c>
      <c r="H64" s="63"/>
      <c r="I64" s="63"/>
      <c r="J64" s="63"/>
      <c r="K64" s="133"/>
      <c r="L64" s="63"/>
      <c r="M64" s="63"/>
      <c r="N64" s="63"/>
      <c r="O64" s="63"/>
      <c r="P64" s="63"/>
      <c r="Q64" s="63">
        <f t="shared" si="2"/>
        <v>452.83</v>
      </c>
      <c r="R64" s="63">
        <f t="shared" si="3"/>
        <v>0</v>
      </c>
      <c r="S64" s="63">
        <f t="shared" si="4"/>
        <v>452.83</v>
      </c>
    </row>
    <row r="65" spans="1:19" s="77" customFormat="1" ht="12" x14ac:dyDescent="0.2">
      <c r="A65" s="68" t="s">
        <v>8922</v>
      </c>
      <c r="B65" s="85" t="s">
        <v>8941</v>
      </c>
      <c r="C65" s="88">
        <v>17</v>
      </c>
      <c r="D65" s="73" t="s">
        <v>8968</v>
      </c>
      <c r="E65" s="85" t="s">
        <v>19</v>
      </c>
      <c r="F65" s="74">
        <v>43491</v>
      </c>
      <c r="G65" s="95">
        <f>175.82+0.35</f>
        <v>176.17</v>
      </c>
      <c r="H65" s="63"/>
      <c r="I65" s="63"/>
      <c r="J65" s="63"/>
      <c r="K65" s="133"/>
      <c r="L65" s="63"/>
      <c r="M65" s="63"/>
      <c r="N65" s="63"/>
      <c r="O65" s="63"/>
      <c r="P65" s="63"/>
      <c r="Q65" s="63">
        <f t="shared" si="2"/>
        <v>176.17</v>
      </c>
      <c r="R65" s="63">
        <f t="shared" si="3"/>
        <v>0</v>
      </c>
      <c r="S65" s="63">
        <f t="shared" si="4"/>
        <v>176.17</v>
      </c>
    </row>
    <row r="66" spans="1:19" s="77" customFormat="1" ht="12" x14ac:dyDescent="0.2">
      <c r="A66" s="68" t="s">
        <v>8923</v>
      </c>
      <c r="B66" s="85" t="s">
        <v>8942</v>
      </c>
      <c r="C66" s="88">
        <v>18</v>
      </c>
      <c r="D66" s="73" t="s">
        <v>8969</v>
      </c>
      <c r="E66" s="85" t="s">
        <v>19</v>
      </c>
      <c r="F66" s="74">
        <v>43492</v>
      </c>
      <c r="G66" s="95">
        <f>302.08+19.29</f>
        <v>321.37</v>
      </c>
      <c r="H66" s="63"/>
      <c r="I66" s="63"/>
      <c r="J66" s="63"/>
      <c r="K66" s="133"/>
      <c r="L66" s="63"/>
      <c r="M66" s="63"/>
      <c r="N66" s="63"/>
      <c r="O66" s="63"/>
      <c r="P66" s="63"/>
      <c r="Q66" s="63">
        <f t="shared" si="2"/>
        <v>321.37</v>
      </c>
      <c r="R66" s="63">
        <f t="shared" si="3"/>
        <v>0</v>
      </c>
      <c r="S66" s="63">
        <f t="shared" si="4"/>
        <v>321.37</v>
      </c>
    </row>
    <row r="67" spans="1:19" s="77" customFormat="1" ht="12" x14ac:dyDescent="0.2">
      <c r="A67" s="68" t="s">
        <v>8924</v>
      </c>
      <c r="B67" s="85" t="s">
        <v>8943</v>
      </c>
      <c r="C67" s="88">
        <v>19</v>
      </c>
      <c r="D67" s="73" t="s">
        <v>8970</v>
      </c>
      <c r="E67" s="85" t="s">
        <v>19</v>
      </c>
      <c r="F67" s="74">
        <v>43492</v>
      </c>
      <c r="G67" s="95">
        <f>127.68+44.6</f>
        <v>172.28</v>
      </c>
      <c r="H67" s="63"/>
      <c r="I67" s="63"/>
      <c r="J67" s="63"/>
      <c r="K67" s="133"/>
      <c r="L67" s="63"/>
      <c r="M67" s="63"/>
      <c r="N67" s="63"/>
      <c r="O67" s="63"/>
      <c r="P67" s="63"/>
      <c r="Q67" s="63">
        <f t="shared" si="2"/>
        <v>172.28</v>
      </c>
      <c r="R67" s="63">
        <f t="shared" si="3"/>
        <v>0</v>
      </c>
      <c r="S67" s="63">
        <f t="shared" si="4"/>
        <v>172.28</v>
      </c>
    </row>
    <row r="68" spans="1:19" s="77" customFormat="1" ht="12" x14ac:dyDescent="0.2">
      <c r="A68" s="68" t="s">
        <v>8924</v>
      </c>
      <c r="B68" s="85" t="s">
        <v>8943</v>
      </c>
      <c r="C68" s="88">
        <v>19</v>
      </c>
      <c r="D68" s="73" t="s">
        <v>8971</v>
      </c>
      <c r="E68" s="85" t="s">
        <v>19</v>
      </c>
      <c r="F68" s="74">
        <v>43492</v>
      </c>
      <c r="G68" s="95">
        <f>175.1</f>
        <v>175.1</v>
      </c>
      <c r="H68" s="63"/>
      <c r="I68" s="63"/>
      <c r="J68" s="63"/>
      <c r="K68" s="133"/>
      <c r="L68" s="63"/>
      <c r="M68" s="63"/>
      <c r="N68" s="63"/>
      <c r="O68" s="63"/>
      <c r="P68" s="63"/>
      <c r="Q68" s="63">
        <f t="shared" si="2"/>
        <v>175.1</v>
      </c>
      <c r="R68" s="63">
        <f t="shared" si="3"/>
        <v>0</v>
      </c>
      <c r="S68" s="63">
        <f t="shared" si="4"/>
        <v>175.1</v>
      </c>
    </row>
    <row r="69" spans="1:19" s="77" customFormat="1" ht="12" x14ac:dyDescent="0.2">
      <c r="A69" s="68" t="s">
        <v>8925</v>
      </c>
      <c r="B69" s="85" t="s">
        <v>8944</v>
      </c>
      <c r="C69" s="88">
        <v>20</v>
      </c>
      <c r="D69" s="73" t="s">
        <v>9074</v>
      </c>
      <c r="E69" s="85" t="s">
        <v>19</v>
      </c>
      <c r="F69" s="74">
        <v>43494</v>
      </c>
      <c r="G69" s="95">
        <f>131.42</f>
        <v>131.41999999999999</v>
      </c>
      <c r="H69" s="63"/>
      <c r="I69" s="63"/>
      <c r="J69" s="63"/>
      <c r="K69" s="133"/>
      <c r="L69" s="63"/>
      <c r="M69" s="63"/>
      <c r="N69" s="63"/>
      <c r="O69" s="63"/>
      <c r="P69" s="63"/>
      <c r="Q69" s="63">
        <f t="shared" si="2"/>
        <v>131.41999999999999</v>
      </c>
      <c r="R69" s="63">
        <f t="shared" si="3"/>
        <v>0</v>
      </c>
      <c r="S69" s="63">
        <f t="shared" si="4"/>
        <v>131.41999999999999</v>
      </c>
    </row>
    <row r="70" spans="1:19" s="77" customFormat="1" ht="12" x14ac:dyDescent="0.2">
      <c r="A70" s="68" t="s">
        <v>8926</v>
      </c>
      <c r="B70" s="85" t="s">
        <v>8945</v>
      </c>
      <c r="C70" s="88">
        <v>21</v>
      </c>
      <c r="D70" s="73" t="s">
        <v>8972</v>
      </c>
      <c r="E70" s="85" t="s">
        <v>19</v>
      </c>
      <c r="F70" s="74">
        <v>43494</v>
      </c>
      <c r="G70" s="95"/>
      <c r="H70" s="63"/>
      <c r="I70" s="63"/>
      <c r="J70" s="63"/>
      <c r="K70" s="133"/>
      <c r="L70" s="63"/>
      <c r="M70" s="63"/>
      <c r="N70" s="63"/>
      <c r="O70" s="63"/>
      <c r="P70" s="63"/>
      <c r="Q70" s="63">
        <f t="shared" si="2"/>
        <v>0</v>
      </c>
      <c r="R70" s="63">
        <f t="shared" si="3"/>
        <v>0</v>
      </c>
      <c r="S70" s="63">
        <f t="shared" si="4"/>
        <v>0</v>
      </c>
    </row>
    <row r="71" spans="1:19" s="77" customFormat="1" ht="12" x14ac:dyDescent="0.2">
      <c r="A71" s="68" t="s">
        <v>8927</v>
      </c>
      <c r="B71" s="85" t="s">
        <v>8946</v>
      </c>
      <c r="C71" s="88">
        <v>22</v>
      </c>
      <c r="D71" s="73" t="s">
        <v>8973</v>
      </c>
      <c r="E71" s="85" t="s">
        <v>19</v>
      </c>
      <c r="F71" s="74">
        <v>43496</v>
      </c>
      <c r="G71" s="95"/>
      <c r="H71" s="63"/>
      <c r="I71" s="63"/>
      <c r="J71" s="63"/>
      <c r="K71" s="133"/>
      <c r="L71" s="63"/>
      <c r="M71" s="63"/>
      <c r="N71" s="63"/>
      <c r="O71" s="63"/>
      <c r="P71" s="63"/>
      <c r="Q71" s="63">
        <f t="shared" si="2"/>
        <v>0</v>
      </c>
      <c r="R71" s="63">
        <f t="shared" si="3"/>
        <v>0</v>
      </c>
      <c r="S71" s="63">
        <f t="shared" si="4"/>
        <v>0</v>
      </c>
    </row>
    <row r="72" spans="1:19" s="77" customFormat="1" ht="12" x14ac:dyDescent="0.2">
      <c r="A72" s="68" t="s">
        <v>8928</v>
      </c>
      <c r="B72" s="85" t="s">
        <v>8947</v>
      </c>
      <c r="C72" s="88">
        <v>23</v>
      </c>
      <c r="D72" s="73" t="s">
        <v>8974</v>
      </c>
      <c r="E72" s="85" t="s">
        <v>19</v>
      </c>
      <c r="F72" s="74">
        <v>43496</v>
      </c>
      <c r="G72" s="95"/>
      <c r="H72" s="63"/>
      <c r="I72" s="63"/>
      <c r="J72" s="63"/>
      <c r="K72" s="133"/>
      <c r="L72" s="63"/>
      <c r="M72" s="63"/>
      <c r="N72" s="63"/>
      <c r="O72" s="63"/>
      <c r="P72" s="63"/>
      <c r="Q72" s="63">
        <f t="shared" si="2"/>
        <v>0</v>
      </c>
      <c r="R72" s="63">
        <f t="shared" si="3"/>
        <v>0</v>
      </c>
      <c r="S72" s="63">
        <f t="shared" si="4"/>
        <v>0</v>
      </c>
    </row>
    <row r="73" spans="1:19" s="77" customFormat="1" ht="12" x14ac:dyDescent="0.2">
      <c r="A73" s="68" t="s">
        <v>8928</v>
      </c>
      <c r="B73" s="85" t="s">
        <v>8947</v>
      </c>
      <c r="C73" s="88">
        <v>23</v>
      </c>
      <c r="D73" s="73" t="s">
        <v>8975</v>
      </c>
      <c r="E73" s="85" t="s">
        <v>19</v>
      </c>
      <c r="F73" s="74">
        <v>43496</v>
      </c>
      <c r="G73" s="95"/>
      <c r="H73" s="63"/>
      <c r="I73" s="63"/>
      <c r="J73" s="63"/>
      <c r="K73" s="133"/>
      <c r="L73" s="63"/>
      <c r="M73" s="63"/>
      <c r="N73" s="63"/>
      <c r="O73" s="63"/>
      <c r="P73" s="63"/>
      <c r="Q73" s="63">
        <f t="shared" si="2"/>
        <v>0</v>
      </c>
      <c r="R73" s="63">
        <f t="shared" si="3"/>
        <v>0</v>
      </c>
      <c r="S73" s="63">
        <f t="shared" si="4"/>
        <v>0</v>
      </c>
    </row>
    <row r="74" spans="1:19" s="77" customFormat="1" ht="12" x14ac:dyDescent="0.2">
      <c r="A74" s="68" t="s">
        <v>8929</v>
      </c>
      <c r="B74" s="85" t="s">
        <v>8948</v>
      </c>
      <c r="C74" s="88">
        <v>24</v>
      </c>
      <c r="D74" s="73" t="s">
        <v>8976</v>
      </c>
      <c r="E74" s="85" t="s">
        <v>19</v>
      </c>
      <c r="F74" s="74">
        <v>43496</v>
      </c>
      <c r="G74" s="95"/>
      <c r="H74" s="63"/>
      <c r="I74" s="63"/>
      <c r="J74" s="63"/>
      <c r="K74" s="133"/>
      <c r="L74" s="63"/>
      <c r="M74" s="63"/>
      <c r="N74" s="63"/>
      <c r="O74" s="63"/>
      <c r="P74" s="63"/>
      <c r="Q74" s="63">
        <f t="shared" si="2"/>
        <v>0</v>
      </c>
      <c r="R74" s="63">
        <f t="shared" si="3"/>
        <v>0</v>
      </c>
      <c r="S74" s="63">
        <f t="shared" si="4"/>
        <v>0</v>
      </c>
    </row>
    <row r="75" spans="1:19" s="77" customFormat="1" ht="12" x14ac:dyDescent="0.2">
      <c r="A75" s="68" t="s">
        <v>8979</v>
      </c>
      <c r="B75" s="85" t="s">
        <v>8995</v>
      </c>
      <c r="C75" s="88">
        <v>25</v>
      </c>
      <c r="D75" s="73" t="s">
        <v>9011</v>
      </c>
      <c r="E75" s="68" t="s">
        <v>9030</v>
      </c>
      <c r="F75" s="87">
        <v>43498</v>
      </c>
      <c r="G75" s="95"/>
      <c r="H75" s="63"/>
      <c r="I75" s="63"/>
      <c r="J75" s="63"/>
      <c r="K75" s="133"/>
      <c r="L75" s="63"/>
      <c r="M75" s="63"/>
      <c r="N75" s="63"/>
      <c r="O75" s="63"/>
      <c r="P75" s="63"/>
      <c r="Q75" s="63">
        <f t="shared" si="2"/>
        <v>0</v>
      </c>
      <c r="R75" s="63">
        <f t="shared" si="3"/>
        <v>0</v>
      </c>
      <c r="S75" s="63">
        <f t="shared" si="4"/>
        <v>0</v>
      </c>
    </row>
    <row r="76" spans="1:19" s="77" customFormat="1" ht="12" x14ac:dyDescent="0.2">
      <c r="A76" s="68" t="s">
        <v>8980</v>
      </c>
      <c r="B76" s="85" t="s">
        <v>8996</v>
      </c>
      <c r="C76" s="88">
        <v>26</v>
      </c>
      <c r="D76" s="73" t="s">
        <v>9012</v>
      </c>
      <c r="E76" s="68" t="s">
        <v>7127</v>
      </c>
      <c r="F76" s="87">
        <v>43498</v>
      </c>
      <c r="G76" s="95">
        <f>240+360+135.81+148.07+187.03+41.3+106.91+245.07+196+107</f>
        <v>1767.1899999999998</v>
      </c>
      <c r="H76" s="63"/>
      <c r="I76" s="63"/>
      <c r="J76" s="63"/>
      <c r="K76" s="133"/>
      <c r="L76" s="63"/>
      <c r="M76" s="63"/>
      <c r="N76" s="63"/>
      <c r="O76" s="63"/>
      <c r="P76" s="63"/>
      <c r="Q76" s="63">
        <f t="shared" si="2"/>
        <v>1767.1899999999998</v>
      </c>
      <c r="R76" s="63">
        <f t="shared" si="3"/>
        <v>0</v>
      </c>
      <c r="S76" s="63">
        <f t="shared" si="4"/>
        <v>1767.1899999999998</v>
      </c>
    </row>
    <row r="77" spans="1:19" s="77" customFormat="1" ht="12" x14ac:dyDescent="0.2">
      <c r="A77" s="68" t="s">
        <v>8980</v>
      </c>
      <c r="B77" s="85" t="s">
        <v>8996</v>
      </c>
      <c r="C77" s="88">
        <v>26</v>
      </c>
      <c r="D77" s="73" t="s">
        <v>9331</v>
      </c>
      <c r="E77" s="68" t="s">
        <v>7127</v>
      </c>
      <c r="F77" s="87">
        <v>43498</v>
      </c>
      <c r="G77" s="95">
        <f>60+41.8</f>
        <v>101.8</v>
      </c>
      <c r="H77" s="63"/>
      <c r="I77" s="63"/>
      <c r="J77" s="63"/>
      <c r="K77" s="133"/>
      <c r="L77" s="63"/>
      <c r="M77" s="63"/>
      <c r="N77" s="63"/>
      <c r="O77" s="63"/>
      <c r="P77" s="63"/>
      <c r="Q77" s="63">
        <f t="shared" si="2"/>
        <v>101.8</v>
      </c>
      <c r="R77" s="63">
        <f t="shared" si="3"/>
        <v>0</v>
      </c>
      <c r="S77" s="63">
        <f t="shared" si="4"/>
        <v>101.8</v>
      </c>
    </row>
    <row r="78" spans="1:19" s="77" customFormat="1" ht="12" x14ac:dyDescent="0.2">
      <c r="A78" s="68" t="s">
        <v>8980</v>
      </c>
      <c r="B78" s="85" t="s">
        <v>8996</v>
      </c>
      <c r="C78" s="88">
        <v>26</v>
      </c>
      <c r="D78" s="73" t="s">
        <v>9332</v>
      </c>
      <c r="E78" s="68" t="s">
        <v>7127</v>
      </c>
      <c r="F78" s="87">
        <v>43498</v>
      </c>
      <c r="G78" s="95">
        <f>67+3</f>
        <v>70</v>
      </c>
      <c r="H78" s="63"/>
      <c r="I78" s="63"/>
      <c r="J78" s="63"/>
      <c r="K78" s="133"/>
      <c r="L78" s="63"/>
      <c r="M78" s="63"/>
      <c r="N78" s="63"/>
      <c r="O78" s="63"/>
      <c r="P78" s="63"/>
      <c r="Q78" s="63">
        <f t="shared" si="2"/>
        <v>70</v>
      </c>
      <c r="R78" s="63">
        <f t="shared" si="3"/>
        <v>0</v>
      </c>
      <c r="S78" s="63">
        <f t="shared" si="4"/>
        <v>70</v>
      </c>
    </row>
    <row r="79" spans="1:19" s="77" customFormat="1" ht="12" x14ac:dyDescent="0.2">
      <c r="A79" s="68" t="s">
        <v>8981</v>
      </c>
      <c r="B79" s="85" t="s">
        <v>8997</v>
      </c>
      <c r="C79" s="88">
        <v>27</v>
      </c>
      <c r="D79" s="73" t="s">
        <v>9013</v>
      </c>
      <c r="E79" s="68" t="s">
        <v>19</v>
      </c>
      <c r="F79" s="87">
        <v>43501</v>
      </c>
      <c r="G79" s="95">
        <f>702.63+11678.2+8618.87</f>
        <v>20999.7</v>
      </c>
      <c r="H79" s="63"/>
      <c r="I79" s="63"/>
      <c r="J79" s="63"/>
      <c r="K79" s="133"/>
      <c r="L79" s="63"/>
      <c r="M79" s="63">
        <v>4200</v>
      </c>
      <c r="N79" s="63"/>
      <c r="O79" s="63">
        <v>16800</v>
      </c>
      <c r="P79" s="63"/>
      <c r="Q79" s="63">
        <f t="shared" si="2"/>
        <v>41999.7</v>
      </c>
      <c r="R79" s="63">
        <f t="shared" si="3"/>
        <v>0</v>
      </c>
      <c r="S79" s="63">
        <f t="shared" si="4"/>
        <v>41999.7</v>
      </c>
    </row>
    <row r="80" spans="1:19" s="77" customFormat="1" ht="12" x14ac:dyDescent="0.2">
      <c r="A80" s="68" t="s">
        <v>8982</v>
      </c>
      <c r="B80" s="85" t="s">
        <v>8998</v>
      </c>
      <c r="C80" s="88">
        <v>28</v>
      </c>
      <c r="D80" s="73" t="s">
        <v>9014</v>
      </c>
      <c r="E80" s="68" t="s">
        <v>19</v>
      </c>
      <c r="F80" s="87">
        <v>43501</v>
      </c>
      <c r="G80" s="95">
        <f>40</f>
        <v>40</v>
      </c>
      <c r="H80" s="63"/>
      <c r="I80" s="63"/>
      <c r="J80" s="63"/>
      <c r="K80" s="133"/>
      <c r="L80" s="63"/>
      <c r="M80" s="63"/>
      <c r="N80" s="63"/>
      <c r="O80" s="63"/>
      <c r="P80" s="63"/>
      <c r="Q80" s="63">
        <f t="shared" si="2"/>
        <v>40</v>
      </c>
      <c r="R80" s="63">
        <f t="shared" si="3"/>
        <v>0</v>
      </c>
      <c r="S80" s="63">
        <f t="shared" si="4"/>
        <v>40</v>
      </c>
    </row>
    <row r="81" spans="1:19" s="77" customFormat="1" ht="12" x14ac:dyDescent="0.2">
      <c r="A81" s="68" t="s">
        <v>8983</v>
      </c>
      <c r="B81" s="85" t="s">
        <v>8999</v>
      </c>
      <c r="C81" s="88">
        <v>29</v>
      </c>
      <c r="D81" s="73" t="s">
        <v>9015</v>
      </c>
      <c r="E81" s="68" t="s">
        <v>19</v>
      </c>
      <c r="F81" s="87">
        <v>43502</v>
      </c>
      <c r="G81" s="95">
        <v>141.41999999999999</v>
      </c>
      <c r="H81" s="63"/>
      <c r="I81" s="63"/>
      <c r="J81" s="63"/>
      <c r="K81" s="133"/>
      <c r="L81" s="63"/>
      <c r="M81" s="63"/>
      <c r="N81" s="63"/>
      <c r="O81" s="63"/>
      <c r="P81" s="63"/>
      <c r="Q81" s="63">
        <f t="shared" si="2"/>
        <v>141.41999999999999</v>
      </c>
      <c r="R81" s="63">
        <f t="shared" si="3"/>
        <v>0</v>
      </c>
      <c r="S81" s="63">
        <f t="shared" si="4"/>
        <v>141.41999999999999</v>
      </c>
    </row>
    <row r="82" spans="1:19" s="77" customFormat="1" ht="12" x14ac:dyDescent="0.2">
      <c r="A82" s="68" t="s">
        <v>8983</v>
      </c>
      <c r="B82" s="85" t="s">
        <v>8999</v>
      </c>
      <c r="C82" s="88">
        <v>29</v>
      </c>
      <c r="D82" s="73" t="s">
        <v>9016</v>
      </c>
      <c r="E82" s="68" t="s">
        <v>19</v>
      </c>
      <c r="F82" s="87">
        <v>43502</v>
      </c>
      <c r="G82" s="95">
        <v>72.42</v>
      </c>
      <c r="H82" s="63"/>
      <c r="I82" s="63"/>
      <c r="J82" s="63"/>
      <c r="K82" s="133"/>
      <c r="L82" s="63"/>
      <c r="M82" s="63"/>
      <c r="N82" s="63"/>
      <c r="O82" s="63"/>
      <c r="P82" s="63"/>
      <c r="Q82" s="63">
        <f t="shared" si="2"/>
        <v>72.42</v>
      </c>
      <c r="R82" s="63">
        <f t="shared" si="3"/>
        <v>0</v>
      </c>
      <c r="S82" s="63">
        <f t="shared" si="4"/>
        <v>72.42</v>
      </c>
    </row>
    <row r="83" spans="1:19" s="77" customFormat="1" ht="12" x14ac:dyDescent="0.2">
      <c r="A83" s="68" t="s">
        <v>8983</v>
      </c>
      <c r="B83" s="85" t="s">
        <v>8999</v>
      </c>
      <c r="C83" s="88">
        <v>29</v>
      </c>
      <c r="D83" s="73" t="s">
        <v>9017</v>
      </c>
      <c r="E83" s="68" t="s">
        <v>19</v>
      </c>
      <c r="F83" s="87">
        <v>43502</v>
      </c>
      <c r="G83" s="95">
        <v>48.42</v>
      </c>
      <c r="H83" s="63"/>
      <c r="I83" s="63"/>
      <c r="J83" s="63"/>
      <c r="K83" s="133"/>
      <c r="L83" s="63"/>
      <c r="M83" s="63"/>
      <c r="N83" s="63"/>
      <c r="O83" s="63"/>
      <c r="P83" s="63"/>
      <c r="Q83" s="63">
        <f t="shared" si="2"/>
        <v>48.42</v>
      </c>
      <c r="R83" s="63">
        <f t="shared" si="3"/>
        <v>0</v>
      </c>
      <c r="S83" s="63">
        <f t="shared" si="4"/>
        <v>48.42</v>
      </c>
    </row>
    <row r="84" spans="1:19" s="77" customFormat="1" ht="12" x14ac:dyDescent="0.2">
      <c r="A84" s="68" t="s">
        <v>8984</v>
      </c>
      <c r="B84" s="85" t="s">
        <v>9000</v>
      </c>
      <c r="C84" s="88">
        <v>30</v>
      </c>
      <c r="D84" s="73" t="s">
        <v>9018</v>
      </c>
      <c r="E84" s="68" t="s">
        <v>19</v>
      </c>
      <c r="F84" s="87">
        <v>43503</v>
      </c>
      <c r="G84" s="95">
        <f>174.19+82.93+103.03+164.02+3.78</f>
        <v>527.94999999999993</v>
      </c>
      <c r="H84" s="63"/>
      <c r="I84" s="63">
        <v>806</v>
      </c>
      <c r="J84" s="63"/>
      <c r="K84" s="133"/>
      <c r="L84" s="63"/>
      <c r="M84" s="63"/>
      <c r="N84" s="63"/>
      <c r="O84" s="63"/>
      <c r="P84" s="63"/>
      <c r="Q84" s="63">
        <f t="shared" si="2"/>
        <v>1333.9499999999998</v>
      </c>
      <c r="R84" s="63">
        <f t="shared" si="3"/>
        <v>0</v>
      </c>
      <c r="S84" s="63">
        <f t="shared" si="4"/>
        <v>1333.9499999999998</v>
      </c>
    </row>
    <row r="85" spans="1:19" s="77" customFormat="1" ht="12" x14ac:dyDescent="0.2">
      <c r="A85" s="68" t="s">
        <v>8985</v>
      </c>
      <c r="B85" s="85" t="s">
        <v>9001</v>
      </c>
      <c r="C85" s="88">
        <v>31</v>
      </c>
      <c r="D85" s="73" t="s">
        <v>9019</v>
      </c>
      <c r="E85" s="68" t="s">
        <v>19</v>
      </c>
      <c r="F85" s="87">
        <v>43503</v>
      </c>
      <c r="G85" s="95">
        <v>1420.5</v>
      </c>
      <c r="H85" s="63"/>
      <c r="I85" s="63">
        <v>1860</v>
      </c>
      <c r="J85" s="63"/>
      <c r="K85" s="133"/>
      <c r="L85" s="63"/>
      <c r="M85" s="63"/>
      <c r="N85" s="63"/>
      <c r="O85" s="63"/>
      <c r="P85" s="63"/>
      <c r="Q85" s="63">
        <f t="shared" si="2"/>
        <v>3280.5</v>
      </c>
      <c r="R85" s="63">
        <f t="shared" si="3"/>
        <v>0</v>
      </c>
      <c r="S85" s="63">
        <f t="shared" si="4"/>
        <v>3280.5</v>
      </c>
    </row>
    <row r="86" spans="1:19" s="77" customFormat="1" ht="12" x14ac:dyDescent="0.2">
      <c r="A86" s="68" t="s">
        <v>8986</v>
      </c>
      <c r="B86" s="85" t="s">
        <v>9002</v>
      </c>
      <c r="C86" s="88">
        <v>32</v>
      </c>
      <c r="D86" s="73" t="s">
        <v>9020</v>
      </c>
      <c r="E86" s="68" t="s">
        <v>19</v>
      </c>
      <c r="F86" s="74">
        <v>43504</v>
      </c>
      <c r="G86" s="95">
        <v>56.64</v>
      </c>
      <c r="H86" s="63"/>
      <c r="I86" s="63"/>
      <c r="J86" s="63"/>
      <c r="K86" s="133"/>
      <c r="L86" s="63"/>
      <c r="M86" s="63"/>
      <c r="N86" s="63"/>
      <c r="O86" s="63"/>
      <c r="P86" s="63"/>
      <c r="Q86" s="63">
        <f t="shared" si="2"/>
        <v>56.64</v>
      </c>
      <c r="R86" s="63">
        <f t="shared" si="3"/>
        <v>0</v>
      </c>
      <c r="S86" s="63">
        <f t="shared" si="4"/>
        <v>56.64</v>
      </c>
    </row>
    <row r="87" spans="1:19" s="77" customFormat="1" ht="12" x14ac:dyDescent="0.2">
      <c r="A87" s="68" t="s">
        <v>8987</v>
      </c>
      <c r="B87" s="85" t="s">
        <v>9003</v>
      </c>
      <c r="C87" s="88">
        <v>33</v>
      </c>
      <c r="D87" s="73" t="s">
        <v>9021</v>
      </c>
      <c r="E87" s="68" t="s">
        <v>19</v>
      </c>
      <c r="F87" s="74">
        <v>43512</v>
      </c>
      <c r="G87" s="95">
        <f>68.42+300+129.6</f>
        <v>498.02</v>
      </c>
      <c r="H87" s="63"/>
      <c r="I87" s="63"/>
      <c r="J87" s="63"/>
      <c r="K87" s="133"/>
      <c r="L87" s="63"/>
      <c r="M87" s="63"/>
      <c r="N87" s="63"/>
      <c r="O87" s="63"/>
      <c r="P87" s="63"/>
      <c r="Q87" s="63">
        <f t="shared" si="2"/>
        <v>498.02</v>
      </c>
      <c r="R87" s="63">
        <f t="shared" si="3"/>
        <v>0</v>
      </c>
      <c r="S87" s="63">
        <f t="shared" si="4"/>
        <v>498.02</v>
      </c>
    </row>
    <row r="88" spans="1:19" s="77" customFormat="1" ht="12" x14ac:dyDescent="0.2">
      <c r="A88" s="68" t="s">
        <v>8988</v>
      </c>
      <c r="B88" s="85" t="s">
        <v>9004</v>
      </c>
      <c r="C88" s="88">
        <v>34</v>
      </c>
      <c r="D88" s="73" t="s">
        <v>9022</v>
      </c>
      <c r="E88" s="68" t="s">
        <v>19</v>
      </c>
      <c r="F88" s="74">
        <v>43512</v>
      </c>
      <c r="G88" s="95"/>
      <c r="H88" s="63"/>
      <c r="I88" s="63"/>
      <c r="J88" s="63"/>
      <c r="K88" s="133"/>
      <c r="L88" s="63"/>
      <c r="M88" s="63"/>
      <c r="N88" s="63"/>
      <c r="O88" s="63"/>
      <c r="P88" s="63"/>
      <c r="Q88" s="63">
        <f t="shared" si="2"/>
        <v>0</v>
      </c>
      <c r="R88" s="63">
        <f t="shared" si="3"/>
        <v>0</v>
      </c>
      <c r="S88" s="63">
        <f t="shared" si="4"/>
        <v>0</v>
      </c>
    </row>
    <row r="89" spans="1:19" s="77" customFormat="1" ht="12" x14ac:dyDescent="0.2">
      <c r="A89" s="68" t="s">
        <v>8989</v>
      </c>
      <c r="B89" s="85" t="s">
        <v>9005</v>
      </c>
      <c r="C89" s="88">
        <v>35</v>
      </c>
      <c r="D89" s="73" t="s">
        <v>9023</v>
      </c>
      <c r="E89" s="68" t="s">
        <v>9031</v>
      </c>
      <c r="F89" s="74">
        <v>43515</v>
      </c>
      <c r="G89" s="95"/>
      <c r="H89" s="63"/>
      <c r="I89" s="63"/>
      <c r="J89" s="63"/>
      <c r="K89" s="133"/>
      <c r="L89" s="63"/>
      <c r="M89" s="63">
        <v>4200</v>
      </c>
      <c r="N89" s="63"/>
      <c r="O89" s="63">
        <v>16800</v>
      </c>
      <c r="P89" s="63"/>
      <c r="Q89" s="63">
        <f t="shared" si="2"/>
        <v>21000</v>
      </c>
      <c r="R89" s="63">
        <f t="shared" si="3"/>
        <v>0</v>
      </c>
      <c r="S89" s="63">
        <f t="shared" si="4"/>
        <v>21000</v>
      </c>
    </row>
    <row r="90" spans="1:19" s="77" customFormat="1" ht="12" x14ac:dyDescent="0.2">
      <c r="A90" s="68" t="s">
        <v>8990</v>
      </c>
      <c r="B90" s="85" t="s">
        <v>9006</v>
      </c>
      <c r="C90" s="88">
        <v>36</v>
      </c>
      <c r="D90" s="73" t="s">
        <v>9273</v>
      </c>
      <c r="E90" s="68" t="s">
        <v>9031</v>
      </c>
      <c r="F90" s="74">
        <v>43515</v>
      </c>
      <c r="G90" s="95">
        <f>38+2</f>
        <v>40</v>
      </c>
      <c r="H90" s="63"/>
      <c r="I90" s="63"/>
      <c r="J90" s="63"/>
      <c r="K90" s="133"/>
      <c r="L90" s="63"/>
      <c r="M90" s="63"/>
      <c r="N90" s="63"/>
      <c r="O90" s="63"/>
      <c r="P90" s="63"/>
      <c r="Q90" s="63">
        <f t="shared" si="2"/>
        <v>40</v>
      </c>
      <c r="R90" s="63">
        <f t="shared" si="3"/>
        <v>0</v>
      </c>
      <c r="S90" s="63">
        <f t="shared" si="4"/>
        <v>40</v>
      </c>
    </row>
    <row r="91" spans="1:19" s="77" customFormat="1" ht="12" x14ac:dyDescent="0.2">
      <c r="A91" s="68" t="s">
        <v>8990</v>
      </c>
      <c r="B91" s="85" t="s">
        <v>9006</v>
      </c>
      <c r="C91" s="88">
        <v>36</v>
      </c>
      <c r="D91" s="73" t="s">
        <v>9274</v>
      </c>
      <c r="E91" s="68" t="s">
        <v>9031</v>
      </c>
      <c r="F91" s="74">
        <v>43515</v>
      </c>
      <c r="G91" s="95">
        <f>98+5.8</f>
        <v>103.8</v>
      </c>
      <c r="H91" s="63"/>
      <c r="I91" s="63"/>
      <c r="J91" s="63"/>
      <c r="K91" s="133"/>
      <c r="L91" s="63"/>
      <c r="M91" s="63"/>
      <c r="N91" s="63"/>
      <c r="O91" s="63"/>
      <c r="P91" s="63"/>
      <c r="Q91" s="63">
        <f t="shared" si="2"/>
        <v>103.8</v>
      </c>
      <c r="R91" s="63">
        <f t="shared" si="3"/>
        <v>0</v>
      </c>
      <c r="S91" s="63">
        <f t="shared" si="4"/>
        <v>103.8</v>
      </c>
    </row>
    <row r="92" spans="1:19" s="77" customFormat="1" ht="12" x14ac:dyDescent="0.2">
      <c r="A92" s="68" t="s">
        <v>8990</v>
      </c>
      <c r="B92" s="85" t="s">
        <v>9006</v>
      </c>
      <c r="C92" s="88">
        <v>36</v>
      </c>
      <c r="D92" s="73" t="s">
        <v>9024</v>
      </c>
      <c r="E92" s="68" t="s">
        <v>9032</v>
      </c>
      <c r="F92" s="74">
        <v>43515</v>
      </c>
      <c r="G92" s="95">
        <f>45+10</f>
        <v>55</v>
      </c>
      <c r="H92" s="63"/>
      <c r="I92" s="63"/>
      <c r="J92" s="63"/>
      <c r="K92" s="133"/>
      <c r="L92" s="63"/>
      <c r="M92" s="63"/>
      <c r="N92" s="63"/>
      <c r="O92" s="63"/>
      <c r="P92" s="63"/>
      <c r="Q92" s="63">
        <f t="shared" si="2"/>
        <v>55</v>
      </c>
      <c r="R92" s="63">
        <f t="shared" si="3"/>
        <v>0</v>
      </c>
      <c r="S92" s="63">
        <f t="shared" si="4"/>
        <v>55</v>
      </c>
    </row>
    <row r="93" spans="1:19" s="77" customFormat="1" ht="12" x14ac:dyDescent="0.2">
      <c r="A93" s="68" t="s">
        <v>8991</v>
      </c>
      <c r="B93" s="85" t="s">
        <v>9007</v>
      </c>
      <c r="C93" s="88">
        <v>37</v>
      </c>
      <c r="D93" s="73" t="s">
        <v>9327</v>
      </c>
      <c r="E93" s="68" t="s">
        <v>9032</v>
      </c>
      <c r="F93" s="74">
        <v>43518</v>
      </c>
      <c r="G93" s="95">
        <f>322.47+500+1481.21+140+144.13+46.32+55.93</f>
        <v>2690.0600000000004</v>
      </c>
      <c r="H93" s="63"/>
      <c r="I93" s="63">
        <v>279</v>
      </c>
      <c r="J93" s="63"/>
      <c r="K93" s="133"/>
      <c r="L93" s="63"/>
      <c r="M93" s="63"/>
      <c r="N93" s="63"/>
      <c r="O93" s="63"/>
      <c r="P93" s="63"/>
      <c r="Q93" s="63">
        <f t="shared" si="2"/>
        <v>2969.0600000000004</v>
      </c>
      <c r="R93" s="63">
        <f t="shared" si="3"/>
        <v>0</v>
      </c>
      <c r="S93" s="63">
        <f t="shared" si="4"/>
        <v>2969.0600000000004</v>
      </c>
    </row>
    <row r="94" spans="1:19" s="77" customFormat="1" ht="12" x14ac:dyDescent="0.2">
      <c r="A94" s="68" t="s">
        <v>8991</v>
      </c>
      <c r="B94" s="85" t="s">
        <v>9007</v>
      </c>
      <c r="C94" s="88">
        <v>37</v>
      </c>
      <c r="D94" s="73" t="s">
        <v>9025</v>
      </c>
      <c r="E94" s="68" t="s">
        <v>9032</v>
      </c>
      <c r="F94" s="74">
        <v>43518</v>
      </c>
      <c r="G94" s="95">
        <f>399.2+235.78+288.85+237.52+185.06+158.67</f>
        <v>1505.0800000000002</v>
      </c>
      <c r="H94" s="63"/>
      <c r="I94" s="63">
        <v>930</v>
      </c>
      <c r="J94" s="63"/>
      <c r="K94" s="133"/>
      <c r="L94" s="63"/>
      <c r="M94" s="63"/>
      <c r="N94" s="63"/>
      <c r="O94" s="63"/>
      <c r="P94" s="63"/>
      <c r="Q94" s="63">
        <f t="shared" si="2"/>
        <v>2435.08</v>
      </c>
      <c r="R94" s="63">
        <f t="shared" si="3"/>
        <v>0</v>
      </c>
      <c r="S94" s="63">
        <f t="shared" si="4"/>
        <v>2435.08</v>
      </c>
    </row>
    <row r="95" spans="1:19" s="77" customFormat="1" ht="12" x14ac:dyDescent="0.2">
      <c r="A95" s="68" t="s">
        <v>8991</v>
      </c>
      <c r="B95" s="85" t="s">
        <v>9007</v>
      </c>
      <c r="C95" s="88">
        <v>37</v>
      </c>
      <c r="D95" s="73" t="s">
        <v>9026</v>
      </c>
      <c r="E95" s="68" t="s">
        <v>9032</v>
      </c>
      <c r="F95" s="74">
        <v>43518</v>
      </c>
      <c r="G95" s="95">
        <f>271.02+710+94.4+66.08+1188.08+2414.9+94.4</f>
        <v>4838.8799999999992</v>
      </c>
      <c r="H95" s="63"/>
      <c r="I95" s="63">
        <v>2821</v>
      </c>
      <c r="J95" s="63"/>
      <c r="K95" s="133"/>
      <c r="L95" s="63"/>
      <c r="M95" s="63"/>
      <c r="N95" s="63"/>
      <c r="O95" s="63"/>
      <c r="P95" s="63"/>
      <c r="Q95" s="63">
        <f t="shared" si="2"/>
        <v>7659.8799999999992</v>
      </c>
      <c r="R95" s="63">
        <f t="shared" si="3"/>
        <v>0</v>
      </c>
      <c r="S95" s="63">
        <f t="shared" si="4"/>
        <v>7659.8799999999992</v>
      </c>
    </row>
    <row r="96" spans="1:19" s="77" customFormat="1" ht="12" x14ac:dyDescent="0.2">
      <c r="A96" s="68" t="s">
        <v>8991</v>
      </c>
      <c r="B96" s="85" t="s">
        <v>9007</v>
      </c>
      <c r="C96" s="88">
        <v>37</v>
      </c>
      <c r="D96" s="73" t="s">
        <v>9027</v>
      </c>
      <c r="E96" s="68" t="s">
        <v>9032</v>
      </c>
      <c r="F96" s="74">
        <v>43518</v>
      </c>
      <c r="G96" s="95">
        <v>245.55</v>
      </c>
      <c r="H96" s="63"/>
      <c r="I96" s="63"/>
      <c r="J96" s="63"/>
      <c r="K96" s="133"/>
      <c r="L96" s="63"/>
      <c r="M96" s="63"/>
      <c r="N96" s="63"/>
      <c r="O96" s="63"/>
      <c r="P96" s="63"/>
      <c r="Q96" s="63">
        <f t="shared" si="2"/>
        <v>245.55</v>
      </c>
      <c r="R96" s="63">
        <f t="shared" si="3"/>
        <v>0</v>
      </c>
      <c r="S96" s="63">
        <f t="shared" si="4"/>
        <v>245.55</v>
      </c>
    </row>
    <row r="97" spans="1:19" s="77" customFormat="1" ht="12" x14ac:dyDescent="0.2">
      <c r="A97" s="68" t="s">
        <v>8992</v>
      </c>
      <c r="B97" s="85" t="s">
        <v>9008</v>
      </c>
      <c r="C97" s="88">
        <v>38</v>
      </c>
      <c r="D97" s="73" t="s">
        <v>9328</v>
      </c>
      <c r="E97" s="68" t="s">
        <v>19</v>
      </c>
      <c r="F97" s="74">
        <v>43523</v>
      </c>
      <c r="G97" s="95"/>
      <c r="H97" s="63"/>
      <c r="I97" s="63">
        <f>1395+465</f>
        <v>1860</v>
      </c>
      <c r="J97" s="63"/>
      <c r="K97" s="133"/>
      <c r="L97" s="63"/>
      <c r="M97" s="63"/>
      <c r="N97" s="63"/>
      <c r="O97" s="63"/>
      <c r="P97" s="63"/>
      <c r="Q97" s="63">
        <f t="shared" si="2"/>
        <v>1860</v>
      </c>
      <c r="R97" s="63">
        <f t="shared" si="3"/>
        <v>0</v>
      </c>
      <c r="S97" s="63">
        <f t="shared" si="4"/>
        <v>1860</v>
      </c>
    </row>
    <row r="98" spans="1:19" s="77" customFormat="1" ht="12" x14ac:dyDescent="0.2">
      <c r="A98" s="68" t="s">
        <v>8993</v>
      </c>
      <c r="B98" s="85" t="s">
        <v>9009</v>
      </c>
      <c r="C98" s="88">
        <v>39</v>
      </c>
      <c r="D98" s="73" t="s">
        <v>9028</v>
      </c>
      <c r="E98" s="68" t="s">
        <v>19</v>
      </c>
      <c r="F98" s="74">
        <v>43523</v>
      </c>
      <c r="G98" s="95"/>
      <c r="H98" s="63"/>
      <c r="I98" s="63"/>
      <c r="J98" s="63"/>
      <c r="K98" s="133"/>
      <c r="L98" s="63"/>
      <c r="M98" s="63"/>
      <c r="N98" s="63"/>
      <c r="O98" s="63"/>
      <c r="P98" s="63"/>
      <c r="Q98" s="63">
        <f t="shared" si="2"/>
        <v>0</v>
      </c>
      <c r="R98" s="63">
        <f t="shared" si="3"/>
        <v>0</v>
      </c>
      <c r="S98" s="63">
        <f t="shared" si="4"/>
        <v>0</v>
      </c>
    </row>
    <row r="99" spans="1:19" s="77" customFormat="1" ht="12" x14ac:dyDescent="0.2">
      <c r="A99" s="68" t="s">
        <v>8994</v>
      </c>
      <c r="B99" s="85" t="s">
        <v>9010</v>
      </c>
      <c r="C99" s="88">
        <v>40</v>
      </c>
      <c r="D99" s="73" t="s">
        <v>9029</v>
      </c>
      <c r="E99" s="68" t="s">
        <v>7256</v>
      </c>
      <c r="F99" s="74">
        <v>43524</v>
      </c>
      <c r="G99" s="95">
        <f>401.3+115+30</f>
        <v>546.29999999999995</v>
      </c>
      <c r="H99" s="63"/>
      <c r="I99" s="63">
        <v>465</v>
      </c>
      <c r="J99" s="63"/>
      <c r="K99" s="133"/>
      <c r="L99" s="63"/>
      <c r="M99" s="63"/>
      <c r="N99" s="63"/>
      <c r="O99" s="63"/>
      <c r="P99" s="63"/>
      <c r="Q99" s="63">
        <f t="shared" ref="Q99:Q115" si="5">+G99+I99+K99+M99+O99</f>
        <v>1011.3</v>
      </c>
      <c r="R99" s="63">
        <f t="shared" ref="R99:R115" si="6">+H99+J99+L99+N99+P99</f>
        <v>0</v>
      </c>
      <c r="S99" s="63">
        <f t="shared" ref="S99:S115" si="7">+Q99+R99</f>
        <v>1011.3</v>
      </c>
    </row>
    <row r="100" spans="1:19" s="77" customFormat="1" ht="12" x14ac:dyDescent="0.2">
      <c r="A100" s="68" t="s">
        <v>9033</v>
      </c>
      <c r="B100" s="68" t="s">
        <v>9034</v>
      </c>
      <c r="C100" s="88">
        <v>41</v>
      </c>
      <c r="D100" s="73" t="s">
        <v>9035</v>
      </c>
      <c r="E100" s="193" t="s">
        <v>19</v>
      </c>
      <c r="F100" s="74">
        <v>43524</v>
      </c>
      <c r="G100" s="95"/>
      <c r="H100" s="63"/>
      <c r="I100" s="63"/>
      <c r="J100" s="63"/>
      <c r="K100" s="133"/>
      <c r="L100" s="63"/>
      <c r="M100" s="63"/>
      <c r="N100" s="63"/>
      <c r="O100" s="63"/>
      <c r="P100" s="63"/>
      <c r="Q100" s="63">
        <f t="shared" si="5"/>
        <v>0</v>
      </c>
      <c r="R100" s="63">
        <f t="shared" si="6"/>
        <v>0</v>
      </c>
      <c r="S100" s="63">
        <f t="shared" si="7"/>
        <v>0</v>
      </c>
    </row>
    <row r="101" spans="1:19" s="77" customFormat="1" ht="12" x14ac:dyDescent="0.2">
      <c r="A101" s="68" t="s">
        <v>9036</v>
      </c>
      <c r="B101" s="68" t="s">
        <v>9037</v>
      </c>
      <c r="C101" s="88">
        <v>42</v>
      </c>
      <c r="D101" s="73" t="s">
        <v>9038</v>
      </c>
      <c r="E101" s="68" t="s">
        <v>19</v>
      </c>
      <c r="F101" s="74">
        <v>43529</v>
      </c>
      <c r="G101" s="95">
        <f>300+198.09</f>
        <v>498.09000000000003</v>
      </c>
      <c r="H101" s="63"/>
      <c r="I101" s="63"/>
      <c r="J101" s="63"/>
      <c r="K101" s="133"/>
      <c r="L101" s="63"/>
      <c r="M101" s="63"/>
      <c r="N101" s="63"/>
      <c r="O101" s="63"/>
      <c r="P101" s="63"/>
      <c r="Q101" s="63">
        <f t="shared" si="5"/>
        <v>498.09000000000003</v>
      </c>
      <c r="R101" s="63">
        <f t="shared" si="6"/>
        <v>0</v>
      </c>
      <c r="S101" s="63">
        <f t="shared" si="7"/>
        <v>498.09000000000003</v>
      </c>
    </row>
    <row r="102" spans="1:19" s="77" customFormat="1" ht="12" x14ac:dyDescent="0.2">
      <c r="A102" s="68" t="s">
        <v>9036</v>
      </c>
      <c r="B102" s="68" t="s">
        <v>9037</v>
      </c>
      <c r="C102" s="88">
        <v>42</v>
      </c>
      <c r="D102" s="73" t="s">
        <v>9039</v>
      </c>
      <c r="E102" s="68" t="s">
        <v>19</v>
      </c>
      <c r="F102" s="74">
        <v>43529</v>
      </c>
      <c r="G102" s="95">
        <v>145</v>
      </c>
      <c r="H102" s="63"/>
      <c r="I102" s="63"/>
      <c r="J102" s="63"/>
      <c r="K102" s="133"/>
      <c r="L102" s="63"/>
      <c r="M102" s="63"/>
      <c r="N102" s="63"/>
      <c r="O102" s="63"/>
      <c r="P102" s="63"/>
      <c r="Q102" s="63">
        <f t="shared" si="5"/>
        <v>145</v>
      </c>
      <c r="R102" s="63">
        <f t="shared" si="6"/>
        <v>0</v>
      </c>
      <c r="S102" s="63">
        <f t="shared" si="7"/>
        <v>145</v>
      </c>
    </row>
    <row r="103" spans="1:19" s="77" customFormat="1" ht="12" x14ac:dyDescent="0.2">
      <c r="A103" s="71" t="s">
        <v>9040</v>
      </c>
      <c r="B103" s="71" t="s">
        <v>9041</v>
      </c>
      <c r="C103" s="88">
        <v>43</v>
      </c>
      <c r="D103" s="73" t="s">
        <v>9042</v>
      </c>
      <c r="E103" s="71" t="s">
        <v>19</v>
      </c>
      <c r="F103" s="75">
        <v>43529</v>
      </c>
      <c r="G103" s="95">
        <v>59</v>
      </c>
      <c r="H103" s="63"/>
      <c r="I103" s="63"/>
      <c r="J103" s="63"/>
      <c r="K103" s="133"/>
      <c r="L103" s="63"/>
      <c r="M103" s="63"/>
      <c r="N103" s="63"/>
      <c r="O103" s="63"/>
      <c r="P103" s="63"/>
      <c r="Q103" s="63">
        <f t="shared" si="5"/>
        <v>59</v>
      </c>
      <c r="R103" s="63">
        <f t="shared" si="6"/>
        <v>0</v>
      </c>
      <c r="S103" s="63">
        <f t="shared" si="7"/>
        <v>59</v>
      </c>
    </row>
    <row r="104" spans="1:19" s="77" customFormat="1" ht="12" x14ac:dyDescent="0.2">
      <c r="A104" s="68" t="s">
        <v>9043</v>
      </c>
      <c r="B104" s="68" t="s">
        <v>9044</v>
      </c>
      <c r="C104" s="88">
        <v>44</v>
      </c>
      <c r="D104" s="73" t="s">
        <v>9045</v>
      </c>
      <c r="E104" s="68" t="s">
        <v>19</v>
      </c>
      <c r="F104" s="74">
        <v>43531</v>
      </c>
      <c r="G104" s="95">
        <v>168.54</v>
      </c>
      <c r="H104" s="63"/>
      <c r="I104" s="63"/>
      <c r="J104" s="63"/>
      <c r="K104" s="133"/>
      <c r="L104" s="63"/>
      <c r="M104" s="63"/>
      <c r="N104" s="63"/>
      <c r="O104" s="63"/>
      <c r="P104" s="63"/>
      <c r="Q104" s="63">
        <f t="shared" si="5"/>
        <v>168.54</v>
      </c>
      <c r="R104" s="63">
        <f t="shared" si="6"/>
        <v>0</v>
      </c>
      <c r="S104" s="63">
        <f t="shared" si="7"/>
        <v>168.54</v>
      </c>
    </row>
    <row r="105" spans="1:19" s="77" customFormat="1" ht="12" x14ac:dyDescent="0.2">
      <c r="A105" s="68" t="s">
        <v>9046</v>
      </c>
      <c r="B105" s="68" t="s">
        <v>9047</v>
      </c>
      <c r="C105" s="88">
        <v>45</v>
      </c>
      <c r="D105" s="73" t="s">
        <v>9048</v>
      </c>
      <c r="E105" s="68" t="s">
        <v>19</v>
      </c>
      <c r="F105" s="74">
        <v>43532</v>
      </c>
      <c r="G105" s="95">
        <f>300+960+386.56+482.63+16148.41+1831.71</f>
        <v>20109.309999999998</v>
      </c>
      <c r="H105" s="63"/>
      <c r="I105" s="63"/>
      <c r="J105" s="63"/>
      <c r="K105" s="133"/>
      <c r="L105" s="63"/>
      <c r="M105" s="63"/>
      <c r="N105" s="63"/>
      <c r="O105" s="63"/>
      <c r="P105" s="63"/>
      <c r="Q105" s="63">
        <f t="shared" si="5"/>
        <v>20109.309999999998</v>
      </c>
      <c r="R105" s="63">
        <f t="shared" si="6"/>
        <v>0</v>
      </c>
      <c r="S105" s="63">
        <f t="shared" si="7"/>
        <v>20109.309999999998</v>
      </c>
    </row>
    <row r="106" spans="1:19" s="77" customFormat="1" ht="12" x14ac:dyDescent="0.2">
      <c r="A106" s="68" t="s">
        <v>9049</v>
      </c>
      <c r="B106" s="68" t="s">
        <v>9050</v>
      </c>
      <c r="C106" s="88">
        <v>46</v>
      </c>
      <c r="D106" s="73" t="s">
        <v>9051</v>
      </c>
      <c r="E106" s="68" t="s">
        <v>19</v>
      </c>
      <c r="F106" s="74">
        <v>43535</v>
      </c>
      <c r="G106" s="95">
        <v>198.3</v>
      </c>
      <c r="H106" s="63"/>
      <c r="I106" s="63"/>
      <c r="J106" s="63"/>
      <c r="K106" s="133"/>
      <c r="L106" s="63"/>
      <c r="M106" s="63"/>
      <c r="N106" s="63"/>
      <c r="O106" s="63"/>
      <c r="P106" s="63"/>
      <c r="Q106" s="63">
        <f t="shared" si="5"/>
        <v>198.3</v>
      </c>
      <c r="R106" s="63">
        <f t="shared" si="6"/>
        <v>0</v>
      </c>
      <c r="S106" s="63">
        <f t="shared" si="7"/>
        <v>198.3</v>
      </c>
    </row>
    <row r="107" spans="1:19" s="77" customFormat="1" ht="12" x14ac:dyDescent="0.2">
      <c r="A107" s="194" t="s">
        <v>9052</v>
      </c>
      <c r="B107" s="194" t="s">
        <v>9053</v>
      </c>
      <c r="C107" s="88">
        <v>47</v>
      </c>
      <c r="D107" s="73" t="s">
        <v>9054</v>
      </c>
      <c r="E107" s="194" t="s">
        <v>19</v>
      </c>
      <c r="F107" s="74">
        <v>43535</v>
      </c>
      <c r="G107" s="95">
        <f>578.9+463.65</f>
        <v>1042.55</v>
      </c>
      <c r="H107" s="63"/>
      <c r="I107" s="63"/>
      <c r="J107" s="63"/>
      <c r="K107" s="63"/>
      <c r="L107" s="63"/>
      <c r="M107" s="63"/>
      <c r="N107" s="63"/>
      <c r="O107" s="63"/>
      <c r="P107" s="63"/>
      <c r="Q107" s="63">
        <f t="shared" si="5"/>
        <v>1042.55</v>
      </c>
      <c r="R107" s="63">
        <f t="shared" si="6"/>
        <v>0</v>
      </c>
      <c r="S107" s="63">
        <f t="shared" si="7"/>
        <v>1042.55</v>
      </c>
    </row>
    <row r="108" spans="1:19" s="77" customFormat="1" ht="12" x14ac:dyDescent="0.2">
      <c r="A108" s="68" t="s">
        <v>9055</v>
      </c>
      <c r="B108" s="68" t="s">
        <v>9056</v>
      </c>
      <c r="C108" s="88">
        <v>48</v>
      </c>
      <c r="D108" s="72" t="s">
        <v>9057</v>
      </c>
      <c r="E108" s="194" t="s">
        <v>19</v>
      </c>
      <c r="F108" s="74">
        <v>43536</v>
      </c>
      <c r="G108" s="95">
        <v>282.58</v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>
        <f t="shared" si="5"/>
        <v>282.58</v>
      </c>
      <c r="R108" s="63">
        <f t="shared" si="6"/>
        <v>0</v>
      </c>
      <c r="S108" s="63">
        <f t="shared" si="7"/>
        <v>282.58</v>
      </c>
    </row>
    <row r="109" spans="1:19" s="77" customFormat="1" ht="12" x14ac:dyDescent="0.2">
      <c r="A109" s="68" t="s">
        <v>9058</v>
      </c>
      <c r="B109" s="68" t="s">
        <v>9059</v>
      </c>
      <c r="C109" s="88">
        <v>49</v>
      </c>
      <c r="D109" s="72" t="s">
        <v>9285</v>
      </c>
      <c r="E109" s="194" t="s">
        <v>19</v>
      </c>
      <c r="F109" s="74">
        <v>43536</v>
      </c>
      <c r="G109" s="95">
        <f>41.3+41.3+416.28+41.3</f>
        <v>540.17999999999995</v>
      </c>
      <c r="H109" s="63"/>
      <c r="I109" s="63">
        <f>1860+1240</f>
        <v>3100</v>
      </c>
      <c r="J109" s="63"/>
      <c r="K109" s="63"/>
      <c r="L109" s="63"/>
      <c r="M109" s="63"/>
      <c r="N109" s="63"/>
      <c r="O109" s="63"/>
      <c r="P109" s="63"/>
      <c r="Q109" s="63">
        <f t="shared" si="5"/>
        <v>3640.18</v>
      </c>
      <c r="R109" s="63">
        <f t="shared" si="6"/>
        <v>0</v>
      </c>
      <c r="S109" s="63">
        <f t="shared" si="7"/>
        <v>3640.18</v>
      </c>
    </row>
    <row r="110" spans="1:19" s="77" customFormat="1" ht="12" x14ac:dyDescent="0.2">
      <c r="A110" s="68" t="s">
        <v>9060</v>
      </c>
      <c r="B110" s="68" t="s">
        <v>9061</v>
      </c>
      <c r="C110" s="88">
        <v>50</v>
      </c>
      <c r="D110" s="73" t="s">
        <v>9062</v>
      </c>
      <c r="E110" s="194" t="s">
        <v>19</v>
      </c>
      <c r="F110" s="74">
        <v>43536</v>
      </c>
      <c r="G110" s="95">
        <f>41.3+134.45+41.3</f>
        <v>217.05</v>
      </c>
      <c r="H110" s="63"/>
      <c r="I110" s="63"/>
      <c r="J110" s="63"/>
      <c r="K110" s="63"/>
      <c r="L110" s="63"/>
      <c r="M110" s="63"/>
      <c r="N110" s="63"/>
      <c r="O110" s="63"/>
      <c r="P110" s="63"/>
      <c r="Q110" s="63">
        <f t="shared" si="5"/>
        <v>217.05</v>
      </c>
      <c r="R110" s="63">
        <f t="shared" si="6"/>
        <v>0</v>
      </c>
      <c r="S110" s="63">
        <f t="shared" si="7"/>
        <v>217.05</v>
      </c>
    </row>
    <row r="111" spans="1:19" s="77" customFormat="1" ht="12" x14ac:dyDescent="0.2">
      <c r="A111" s="68" t="s">
        <v>9063</v>
      </c>
      <c r="B111" s="68" t="s">
        <v>9064</v>
      </c>
      <c r="C111" s="88">
        <v>51</v>
      </c>
      <c r="D111" s="73" t="s">
        <v>9065</v>
      </c>
      <c r="E111" s="68" t="s">
        <v>19</v>
      </c>
      <c r="F111" s="74">
        <v>43540</v>
      </c>
      <c r="G111" s="95">
        <v>588.57000000000005</v>
      </c>
      <c r="H111" s="63"/>
      <c r="I111" s="63"/>
      <c r="J111" s="63"/>
      <c r="K111" s="63"/>
      <c r="L111" s="63"/>
      <c r="M111" s="63"/>
      <c r="N111" s="63"/>
      <c r="O111" s="63"/>
      <c r="P111" s="63"/>
      <c r="Q111" s="63">
        <f t="shared" si="5"/>
        <v>588.57000000000005</v>
      </c>
      <c r="R111" s="63">
        <f t="shared" si="6"/>
        <v>0</v>
      </c>
      <c r="S111" s="63">
        <f t="shared" si="7"/>
        <v>588.57000000000005</v>
      </c>
    </row>
    <row r="112" spans="1:19" s="77" customFormat="1" ht="12" x14ac:dyDescent="0.2">
      <c r="A112" s="68" t="s">
        <v>9081</v>
      </c>
      <c r="B112" s="68" t="s">
        <v>9082</v>
      </c>
      <c r="C112" s="88">
        <v>52</v>
      </c>
      <c r="D112" s="73" t="s">
        <v>9083</v>
      </c>
      <c r="E112" s="68" t="s">
        <v>19</v>
      </c>
      <c r="F112" s="74">
        <v>43542</v>
      </c>
      <c r="G112" s="174">
        <v>356.3</v>
      </c>
      <c r="H112" s="115"/>
      <c r="I112" s="115">
        <v>93</v>
      </c>
      <c r="J112" s="115"/>
      <c r="K112" s="115"/>
      <c r="L112" s="115"/>
      <c r="M112" s="63"/>
      <c r="N112" s="63"/>
      <c r="O112" s="63"/>
      <c r="P112" s="63"/>
      <c r="Q112" s="63">
        <f t="shared" si="5"/>
        <v>449.3</v>
      </c>
      <c r="R112" s="63">
        <f t="shared" si="6"/>
        <v>0</v>
      </c>
      <c r="S112" s="63">
        <f t="shared" si="7"/>
        <v>449.3</v>
      </c>
    </row>
    <row r="113" spans="1:19" s="77" customFormat="1" ht="12" x14ac:dyDescent="0.2">
      <c r="A113" s="68" t="s">
        <v>9084</v>
      </c>
      <c r="B113" s="68" t="s">
        <v>9085</v>
      </c>
      <c r="C113" s="88">
        <v>53</v>
      </c>
      <c r="D113" s="73" t="s">
        <v>9086</v>
      </c>
      <c r="E113" s="68" t="s">
        <v>7127</v>
      </c>
      <c r="F113" s="74">
        <v>43548</v>
      </c>
      <c r="G113" s="174">
        <f>240+181.51+110.98+391+134.2+172.52+46.32+41.3</f>
        <v>1317.83</v>
      </c>
      <c r="H113" s="115"/>
      <c r="I113" s="115">
        <v>620</v>
      </c>
      <c r="J113" s="115"/>
      <c r="K113" s="115"/>
      <c r="L113" s="115"/>
      <c r="M113" s="63"/>
      <c r="N113" s="63"/>
      <c r="O113" s="63"/>
      <c r="P113" s="63"/>
      <c r="Q113" s="63">
        <f t="shared" si="5"/>
        <v>1937.83</v>
      </c>
      <c r="R113" s="63">
        <f t="shared" si="6"/>
        <v>0</v>
      </c>
      <c r="S113" s="63">
        <f t="shared" si="7"/>
        <v>1937.83</v>
      </c>
    </row>
    <row r="114" spans="1:19" s="77" customFormat="1" ht="12" x14ac:dyDescent="0.2">
      <c r="A114" s="68" t="s">
        <v>9087</v>
      </c>
      <c r="B114" s="68" t="s">
        <v>9088</v>
      </c>
      <c r="C114" s="88">
        <v>54</v>
      </c>
      <c r="D114" s="73" t="s">
        <v>9175</v>
      </c>
      <c r="E114" s="68" t="s">
        <v>19</v>
      </c>
      <c r="F114" s="74">
        <v>43550</v>
      </c>
      <c r="G114" s="174">
        <v>239.85</v>
      </c>
      <c r="H114" s="115"/>
      <c r="I114" s="115"/>
      <c r="J114" s="115"/>
      <c r="K114" s="115"/>
      <c r="L114" s="115"/>
      <c r="M114" s="63"/>
      <c r="N114" s="63"/>
      <c r="O114" s="63"/>
      <c r="P114" s="63"/>
      <c r="Q114" s="63">
        <f t="shared" si="5"/>
        <v>239.85</v>
      </c>
      <c r="R114" s="63">
        <f t="shared" si="6"/>
        <v>0</v>
      </c>
      <c r="S114" s="63">
        <f t="shared" si="7"/>
        <v>239.85</v>
      </c>
    </row>
    <row r="115" spans="1:19" s="77" customFormat="1" ht="12" x14ac:dyDescent="0.2">
      <c r="A115" s="68" t="s">
        <v>9089</v>
      </c>
      <c r="B115" s="68" t="s">
        <v>9090</v>
      </c>
      <c r="C115" s="88">
        <v>55</v>
      </c>
      <c r="D115" s="73" t="s">
        <v>9091</v>
      </c>
      <c r="E115" s="68" t="s">
        <v>9092</v>
      </c>
      <c r="F115" s="74">
        <v>43550</v>
      </c>
      <c r="G115" s="174">
        <f>415+88</f>
        <v>503</v>
      </c>
      <c r="H115" s="115"/>
      <c r="I115" s="115">
        <v>961</v>
      </c>
      <c r="J115" s="115"/>
      <c r="K115" s="115"/>
      <c r="L115" s="115"/>
      <c r="M115" s="63"/>
      <c r="N115" s="63"/>
      <c r="O115" s="63"/>
      <c r="P115" s="63"/>
      <c r="Q115" s="63">
        <f t="shared" si="5"/>
        <v>1464</v>
      </c>
      <c r="R115" s="63">
        <f t="shared" si="6"/>
        <v>0</v>
      </c>
      <c r="S115" s="63">
        <f t="shared" si="7"/>
        <v>1464</v>
      </c>
    </row>
    <row r="116" spans="1:19" s="77" customFormat="1" ht="12" x14ac:dyDescent="0.2">
      <c r="A116" s="68" t="s">
        <v>9093</v>
      </c>
      <c r="B116" s="68" t="s">
        <v>9094</v>
      </c>
      <c r="C116" s="88">
        <v>56</v>
      </c>
      <c r="D116" s="73" t="s">
        <v>9095</v>
      </c>
      <c r="E116" s="68" t="s">
        <v>19</v>
      </c>
      <c r="F116" s="74">
        <v>43552</v>
      </c>
      <c r="G116" s="174"/>
      <c r="H116" s="115"/>
      <c r="I116" s="115"/>
      <c r="J116" s="115"/>
      <c r="K116" s="115"/>
      <c r="L116" s="115"/>
      <c r="M116" s="63"/>
      <c r="N116" s="63"/>
      <c r="O116" s="63"/>
      <c r="P116" s="63"/>
      <c r="Q116" s="63">
        <f t="shared" ref="Q116:R119" si="8">+G116+I116+K116+M116+O116</f>
        <v>0</v>
      </c>
      <c r="R116" s="63">
        <f t="shared" si="8"/>
        <v>0</v>
      </c>
      <c r="S116" s="63">
        <f>+Q116+R116</f>
        <v>0</v>
      </c>
    </row>
    <row r="117" spans="1:19" s="77" customFormat="1" ht="12" x14ac:dyDescent="0.2">
      <c r="A117" s="68" t="s">
        <v>9096</v>
      </c>
      <c r="B117" s="68" t="s">
        <v>9099</v>
      </c>
      <c r="C117" s="88">
        <v>57</v>
      </c>
      <c r="D117" s="73" t="s">
        <v>9102</v>
      </c>
      <c r="E117" s="194" t="s">
        <v>19</v>
      </c>
      <c r="F117" s="74">
        <v>43553</v>
      </c>
      <c r="G117" s="174"/>
      <c r="H117" s="115"/>
      <c r="I117" s="115"/>
      <c r="J117" s="115"/>
      <c r="K117" s="115"/>
      <c r="L117" s="115"/>
      <c r="M117" s="63"/>
      <c r="N117" s="63"/>
      <c r="O117" s="63"/>
      <c r="P117" s="63"/>
      <c r="Q117" s="63">
        <f t="shared" si="8"/>
        <v>0</v>
      </c>
      <c r="R117" s="63">
        <f t="shared" si="8"/>
        <v>0</v>
      </c>
      <c r="S117" s="63">
        <f>+Q117+R117</f>
        <v>0</v>
      </c>
    </row>
    <row r="118" spans="1:19" s="77" customFormat="1" ht="12" x14ac:dyDescent="0.2">
      <c r="A118" s="68" t="s">
        <v>9097</v>
      </c>
      <c r="B118" s="68" t="s">
        <v>9100</v>
      </c>
      <c r="C118" s="88">
        <v>58</v>
      </c>
      <c r="D118" s="73" t="s">
        <v>9333</v>
      </c>
      <c r="E118" s="68" t="s">
        <v>19</v>
      </c>
      <c r="F118" s="74">
        <v>43554</v>
      </c>
      <c r="G118" s="174">
        <v>131.13</v>
      </c>
      <c r="H118" s="115"/>
      <c r="I118" s="115"/>
      <c r="J118" s="115"/>
      <c r="K118" s="115"/>
      <c r="L118" s="115"/>
      <c r="M118" s="63"/>
      <c r="N118" s="63"/>
      <c r="O118" s="63"/>
      <c r="P118" s="63"/>
      <c r="Q118" s="63">
        <f t="shared" si="8"/>
        <v>131.13</v>
      </c>
      <c r="R118" s="63">
        <f t="shared" si="8"/>
        <v>0</v>
      </c>
      <c r="S118" s="63">
        <f>+Q118+R118</f>
        <v>131.13</v>
      </c>
    </row>
    <row r="119" spans="1:19" s="77" customFormat="1" ht="12" x14ac:dyDescent="0.2">
      <c r="A119" s="68" t="s">
        <v>9098</v>
      </c>
      <c r="B119" s="68" t="s">
        <v>9101</v>
      </c>
      <c r="C119" s="88">
        <v>59</v>
      </c>
      <c r="D119" s="73" t="s">
        <v>9103</v>
      </c>
      <c r="E119" s="68" t="s">
        <v>19</v>
      </c>
      <c r="F119" s="74">
        <v>43555</v>
      </c>
      <c r="G119" s="174">
        <f>300+274</f>
        <v>574</v>
      </c>
      <c r="H119" s="115"/>
      <c r="I119" s="115"/>
      <c r="J119" s="115"/>
      <c r="K119" s="115"/>
      <c r="L119" s="115"/>
      <c r="M119" s="63"/>
      <c r="N119" s="63"/>
      <c r="O119" s="63"/>
      <c r="P119" s="63"/>
      <c r="Q119" s="63">
        <f t="shared" si="8"/>
        <v>574</v>
      </c>
      <c r="R119" s="63">
        <f t="shared" si="8"/>
        <v>0</v>
      </c>
      <c r="S119" s="63">
        <f>+Q119+R119</f>
        <v>574</v>
      </c>
    </row>
    <row r="120" spans="1:19" s="77" customFormat="1" ht="12" x14ac:dyDescent="0.2">
      <c r="A120" s="68" t="s">
        <v>9098</v>
      </c>
      <c r="B120" s="68" t="s">
        <v>9101</v>
      </c>
      <c r="C120" s="88">
        <v>60</v>
      </c>
      <c r="D120" s="73" t="s">
        <v>9286</v>
      </c>
      <c r="E120" s="68" t="s">
        <v>19</v>
      </c>
      <c r="F120" s="74">
        <v>43555</v>
      </c>
      <c r="G120" s="174">
        <v>243.46</v>
      </c>
      <c r="H120" s="115"/>
      <c r="I120" s="115"/>
      <c r="J120" s="115"/>
      <c r="K120" s="115"/>
      <c r="L120" s="115"/>
      <c r="M120" s="63"/>
      <c r="N120" s="63"/>
      <c r="O120" s="63"/>
      <c r="P120" s="63"/>
      <c r="Q120" s="63">
        <f t="shared" ref="Q120:Q125" si="9">+G120+I120+K120+M120+O120</f>
        <v>243.46</v>
      </c>
      <c r="R120" s="63">
        <f t="shared" ref="R120:R125" si="10">+H120+J120+L120+N120+P120</f>
        <v>0</v>
      </c>
      <c r="S120" s="63">
        <f t="shared" ref="S120:S125" si="11">+Q120+R120</f>
        <v>243.46</v>
      </c>
    </row>
    <row r="121" spans="1:19" s="77" customFormat="1" ht="12" x14ac:dyDescent="0.2">
      <c r="A121" s="68" t="s">
        <v>9105</v>
      </c>
      <c r="B121" s="68" t="s">
        <v>9106</v>
      </c>
      <c r="C121" s="88">
        <v>61</v>
      </c>
      <c r="D121" s="73" t="s">
        <v>9104</v>
      </c>
      <c r="E121" s="68" t="s">
        <v>19</v>
      </c>
      <c r="F121" s="74">
        <v>43558</v>
      </c>
      <c r="G121" s="174"/>
      <c r="H121" s="115"/>
      <c r="I121" s="115"/>
      <c r="J121" s="115"/>
      <c r="K121" s="115"/>
      <c r="L121" s="115"/>
      <c r="M121" s="115"/>
      <c r="N121" s="115"/>
      <c r="O121" s="115"/>
      <c r="P121" s="115"/>
      <c r="Q121" s="63">
        <f t="shared" si="9"/>
        <v>0</v>
      </c>
      <c r="R121" s="63">
        <f t="shared" si="10"/>
        <v>0</v>
      </c>
      <c r="S121" s="63">
        <f t="shared" si="11"/>
        <v>0</v>
      </c>
    </row>
    <row r="122" spans="1:19" s="77" customFormat="1" ht="12" x14ac:dyDescent="0.2">
      <c r="A122" s="68" t="s">
        <v>9105</v>
      </c>
      <c r="B122" s="68" t="s">
        <v>9106</v>
      </c>
      <c r="C122" s="88">
        <v>61</v>
      </c>
      <c r="D122" s="73" t="s">
        <v>9278</v>
      </c>
      <c r="E122" s="68" t="s">
        <v>19</v>
      </c>
      <c r="F122" s="74">
        <v>43558</v>
      </c>
      <c r="G122" s="174">
        <f>300+343</f>
        <v>643</v>
      </c>
      <c r="H122" s="115"/>
      <c r="I122" s="115"/>
      <c r="J122" s="115"/>
      <c r="K122" s="115"/>
      <c r="L122" s="115"/>
      <c r="M122" s="115"/>
      <c r="N122" s="115"/>
      <c r="O122" s="115"/>
      <c r="P122" s="115"/>
      <c r="Q122" s="63">
        <f t="shared" si="9"/>
        <v>643</v>
      </c>
      <c r="R122" s="63">
        <f t="shared" si="10"/>
        <v>0</v>
      </c>
      <c r="S122" s="63">
        <f t="shared" si="11"/>
        <v>643</v>
      </c>
    </row>
    <row r="123" spans="1:19" s="77" customFormat="1" ht="12" x14ac:dyDescent="0.2">
      <c r="A123" s="68" t="s">
        <v>9105</v>
      </c>
      <c r="B123" s="68" t="s">
        <v>9106</v>
      </c>
      <c r="C123" s="88">
        <v>61</v>
      </c>
      <c r="D123" s="73" t="s">
        <v>9279</v>
      </c>
      <c r="E123" s="68" t="s">
        <v>19</v>
      </c>
      <c r="F123" s="74">
        <v>43558</v>
      </c>
      <c r="G123" s="174">
        <f>700+1291.9+142.7+4.21+17.12</f>
        <v>2155.9299999999998</v>
      </c>
      <c r="H123" s="115"/>
      <c r="I123" s="115"/>
      <c r="J123" s="115"/>
      <c r="K123" s="115"/>
      <c r="L123" s="115"/>
      <c r="M123" s="115"/>
      <c r="N123" s="115"/>
      <c r="O123" s="115"/>
      <c r="P123" s="115"/>
      <c r="Q123" s="63">
        <f t="shared" si="9"/>
        <v>2155.9299999999998</v>
      </c>
      <c r="R123" s="63">
        <f t="shared" si="10"/>
        <v>0</v>
      </c>
      <c r="S123" s="63">
        <f t="shared" si="11"/>
        <v>2155.9299999999998</v>
      </c>
    </row>
    <row r="124" spans="1:19" s="77" customFormat="1" ht="12" x14ac:dyDescent="0.2">
      <c r="A124" s="68" t="s">
        <v>9105</v>
      </c>
      <c r="B124" s="68" t="s">
        <v>9106</v>
      </c>
      <c r="C124" s="88">
        <v>61</v>
      </c>
      <c r="D124" s="73" t="s">
        <v>9107</v>
      </c>
      <c r="E124" s="68" t="s">
        <v>19</v>
      </c>
      <c r="F124" s="74">
        <v>43558</v>
      </c>
      <c r="G124" s="174">
        <f>41.3+352.48</f>
        <v>393.78000000000003</v>
      </c>
      <c r="H124" s="115"/>
      <c r="I124" s="115"/>
      <c r="J124" s="115"/>
      <c r="K124" s="115"/>
      <c r="L124" s="115"/>
      <c r="M124" s="115"/>
      <c r="N124" s="115"/>
      <c r="O124" s="115"/>
      <c r="P124" s="115"/>
      <c r="Q124" s="63">
        <f t="shared" si="9"/>
        <v>393.78000000000003</v>
      </c>
      <c r="R124" s="63">
        <f t="shared" si="10"/>
        <v>0</v>
      </c>
      <c r="S124" s="63">
        <f t="shared" si="11"/>
        <v>393.78000000000003</v>
      </c>
    </row>
    <row r="125" spans="1:19" s="77" customFormat="1" ht="12" x14ac:dyDescent="0.2">
      <c r="A125" s="68" t="s">
        <v>9105</v>
      </c>
      <c r="B125" s="68" t="s">
        <v>9106</v>
      </c>
      <c r="C125" s="88">
        <v>61</v>
      </c>
      <c r="D125" s="73" t="s">
        <v>9108</v>
      </c>
      <c r="E125" s="68" t="s">
        <v>19</v>
      </c>
      <c r="F125" s="74">
        <v>43558</v>
      </c>
      <c r="G125" s="174">
        <f>1060+543.3+60</f>
        <v>1663.3</v>
      </c>
      <c r="H125" s="115"/>
      <c r="I125" s="115">
        <v>930</v>
      </c>
      <c r="J125" s="115"/>
      <c r="K125" s="115"/>
      <c r="L125" s="115"/>
      <c r="M125" s="115"/>
      <c r="N125" s="115"/>
      <c r="O125" s="115"/>
      <c r="P125" s="115"/>
      <c r="Q125" s="63">
        <f t="shared" si="9"/>
        <v>2593.3000000000002</v>
      </c>
      <c r="R125" s="63">
        <f t="shared" si="10"/>
        <v>0</v>
      </c>
      <c r="S125" s="63">
        <f t="shared" si="11"/>
        <v>2593.3000000000002</v>
      </c>
    </row>
    <row r="126" spans="1:19" s="77" customFormat="1" ht="12" x14ac:dyDescent="0.2">
      <c r="A126" s="68" t="s">
        <v>9105</v>
      </c>
      <c r="B126" s="68" t="s">
        <v>9106</v>
      </c>
      <c r="C126" s="88">
        <v>61</v>
      </c>
      <c r="D126" s="73" t="s">
        <v>9275</v>
      </c>
      <c r="E126" s="68" t="s">
        <v>19</v>
      </c>
      <c r="F126" s="74">
        <v>43558</v>
      </c>
      <c r="G126" s="174">
        <f>1038+350.54</f>
        <v>1388.54</v>
      </c>
      <c r="H126" s="115"/>
      <c r="I126" s="115"/>
      <c r="J126" s="115"/>
      <c r="K126" s="115"/>
      <c r="L126" s="115"/>
      <c r="M126" s="115"/>
      <c r="N126" s="115"/>
      <c r="O126" s="115"/>
      <c r="P126" s="115"/>
      <c r="Q126" s="63">
        <f t="shared" ref="Q126:R130" si="12">+G126+I126+K126+M126+O126</f>
        <v>1388.54</v>
      </c>
      <c r="R126" s="63">
        <f t="shared" si="12"/>
        <v>0</v>
      </c>
      <c r="S126" s="63">
        <f>+Q126+R126</f>
        <v>1388.54</v>
      </c>
    </row>
    <row r="127" spans="1:19" s="77" customFormat="1" ht="12" x14ac:dyDescent="0.2">
      <c r="A127" s="68" t="s">
        <v>9105</v>
      </c>
      <c r="B127" s="68" t="s">
        <v>9106</v>
      </c>
      <c r="C127" s="88">
        <v>61</v>
      </c>
      <c r="D127" s="73" t="s">
        <v>9276</v>
      </c>
      <c r="E127" s="68" t="s">
        <v>19</v>
      </c>
      <c r="F127" s="74">
        <v>43558</v>
      </c>
      <c r="G127" s="174">
        <f>300+41.3+41.3+41.3+75.94+238.09+181.96+505.21+200.9</f>
        <v>1626.0000000000002</v>
      </c>
      <c r="H127" s="115"/>
      <c r="I127" s="115">
        <v>465</v>
      </c>
      <c r="J127" s="115"/>
      <c r="K127" s="115"/>
      <c r="L127" s="115"/>
      <c r="M127" s="115"/>
      <c r="N127" s="115"/>
      <c r="O127" s="115"/>
      <c r="P127" s="115"/>
      <c r="Q127" s="63">
        <f t="shared" si="12"/>
        <v>2091</v>
      </c>
      <c r="R127" s="63">
        <f t="shared" si="12"/>
        <v>0</v>
      </c>
      <c r="S127" s="63">
        <f>+Q127+R127</f>
        <v>2091</v>
      </c>
    </row>
    <row r="128" spans="1:19" s="77" customFormat="1" ht="12" x14ac:dyDescent="0.2">
      <c r="A128" s="68" t="s">
        <v>9105</v>
      </c>
      <c r="B128" s="68" t="s">
        <v>9106</v>
      </c>
      <c r="C128" s="88">
        <v>61</v>
      </c>
      <c r="D128" s="73" t="s">
        <v>9277</v>
      </c>
      <c r="E128" s="68" t="s">
        <v>19</v>
      </c>
      <c r="F128" s="74">
        <v>43558</v>
      </c>
      <c r="G128" s="174">
        <f>580+220.84</f>
        <v>800.84</v>
      </c>
      <c r="H128" s="115"/>
      <c r="I128" s="115"/>
      <c r="J128" s="115"/>
      <c r="K128" s="115"/>
      <c r="L128" s="115"/>
      <c r="M128" s="115"/>
      <c r="N128" s="115"/>
      <c r="O128" s="115"/>
      <c r="P128" s="115"/>
      <c r="Q128" s="63">
        <f t="shared" si="12"/>
        <v>800.84</v>
      </c>
      <c r="R128" s="63">
        <f t="shared" si="12"/>
        <v>0</v>
      </c>
      <c r="S128" s="63">
        <f>+Q128+R128</f>
        <v>800.84</v>
      </c>
    </row>
    <row r="129" spans="1:19" s="77" customFormat="1" ht="12" x14ac:dyDescent="0.2">
      <c r="A129" s="68" t="s">
        <v>9109</v>
      </c>
      <c r="B129" s="68" t="s">
        <v>9110</v>
      </c>
      <c r="C129" s="88">
        <v>62</v>
      </c>
      <c r="D129" s="73" t="s">
        <v>9111</v>
      </c>
      <c r="E129" s="68" t="s">
        <v>19</v>
      </c>
      <c r="F129" s="74">
        <v>43560</v>
      </c>
      <c r="G129" s="174"/>
      <c r="H129" s="115"/>
      <c r="I129" s="115">
        <f>930+1457</f>
        <v>2387</v>
      </c>
      <c r="J129" s="115"/>
      <c r="K129" s="115"/>
      <c r="L129" s="115"/>
      <c r="M129" s="115"/>
      <c r="N129" s="115"/>
      <c r="O129" s="115"/>
      <c r="P129" s="115"/>
      <c r="Q129" s="63">
        <f t="shared" si="12"/>
        <v>2387</v>
      </c>
      <c r="R129" s="63">
        <f t="shared" si="12"/>
        <v>0</v>
      </c>
      <c r="S129" s="63">
        <f>+Q129+R129</f>
        <v>2387</v>
      </c>
    </row>
    <row r="130" spans="1:19" s="77" customFormat="1" ht="12" x14ac:dyDescent="0.2">
      <c r="A130" s="68" t="s">
        <v>9112</v>
      </c>
      <c r="B130" s="68" t="s">
        <v>9113</v>
      </c>
      <c r="C130" s="88">
        <v>63</v>
      </c>
      <c r="D130" s="73" t="s">
        <v>9280</v>
      </c>
      <c r="E130" s="68" t="s">
        <v>19</v>
      </c>
      <c r="F130" s="74">
        <v>43563</v>
      </c>
      <c r="G130" s="174">
        <f>300+332.81+194.07+41.3+131</f>
        <v>999.17999999999984</v>
      </c>
      <c r="H130" s="115"/>
      <c r="I130" s="115"/>
      <c r="J130" s="115"/>
      <c r="K130" s="115"/>
      <c r="L130" s="115"/>
      <c r="M130" s="115"/>
      <c r="N130" s="115"/>
      <c r="O130" s="115"/>
      <c r="P130" s="115"/>
      <c r="Q130" s="63">
        <f t="shared" si="12"/>
        <v>999.17999999999984</v>
      </c>
      <c r="R130" s="63">
        <f t="shared" si="12"/>
        <v>0</v>
      </c>
      <c r="S130" s="63">
        <f>+Q130+R130</f>
        <v>999.17999999999984</v>
      </c>
    </row>
    <row r="131" spans="1:19" s="77" customFormat="1" ht="12" x14ac:dyDescent="0.2">
      <c r="A131" s="68" t="s">
        <v>9114</v>
      </c>
      <c r="B131" s="68" t="s">
        <v>9133</v>
      </c>
      <c r="C131" s="88">
        <v>64</v>
      </c>
      <c r="D131" s="73" t="s">
        <v>9152</v>
      </c>
      <c r="E131" s="68" t="s">
        <v>19</v>
      </c>
      <c r="F131" s="74">
        <v>43564</v>
      </c>
      <c r="G131" s="174"/>
      <c r="H131" s="115"/>
      <c r="I131" s="115"/>
      <c r="J131" s="115"/>
      <c r="K131" s="115"/>
      <c r="L131" s="115"/>
      <c r="M131" s="115"/>
      <c r="N131" s="115"/>
      <c r="O131" s="115"/>
      <c r="P131" s="115"/>
      <c r="Q131" s="63">
        <f t="shared" ref="Q131:Q191" si="13">+G131+I131+K131+M131+O131</f>
        <v>0</v>
      </c>
      <c r="R131" s="63">
        <f t="shared" ref="R131:R191" si="14">+H131+J131+L131+N131+P131</f>
        <v>0</v>
      </c>
      <c r="S131" s="63">
        <f t="shared" ref="S131:S191" si="15">+Q131+R131</f>
        <v>0</v>
      </c>
    </row>
    <row r="132" spans="1:19" s="77" customFormat="1" ht="12" x14ac:dyDescent="0.2">
      <c r="A132" s="68" t="s">
        <v>9115</v>
      </c>
      <c r="B132" s="68" t="s">
        <v>9134</v>
      </c>
      <c r="C132" s="88">
        <v>65</v>
      </c>
      <c r="D132" s="73" t="s">
        <v>9281</v>
      </c>
      <c r="E132" s="68" t="s">
        <v>19</v>
      </c>
      <c r="F132" s="74">
        <v>43566</v>
      </c>
      <c r="G132" s="174">
        <v>199.34</v>
      </c>
      <c r="H132" s="115"/>
      <c r="I132" s="115"/>
      <c r="J132" s="115"/>
      <c r="K132" s="115"/>
      <c r="L132" s="115"/>
      <c r="M132" s="115"/>
      <c r="N132" s="115"/>
      <c r="O132" s="115"/>
      <c r="P132" s="115"/>
      <c r="Q132" s="63">
        <f t="shared" si="13"/>
        <v>199.34</v>
      </c>
      <c r="R132" s="63">
        <f t="shared" si="14"/>
        <v>0</v>
      </c>
      <c r="S132" s="63">
        <f t="shared" si="15"/>
        <v>199.34</v>
      </c>
    </row>
    <row r="133" spans="1:19" s="77" customFormat="1" ht="12" x14ac:dyDescent="0.2">
      <c r="A133" s="68" t="s">
        <v>9116</v>
      </c>
      <c r="B133" s="68" t="s">
        <v>9135</v>
      </c>
      <c r="C133" s="88">
        <v>66</v>
      </c>
      <c r="D133" s="73" t="s">
        <v>9153</v>
      </c>
      <c r="E133" s="68" t="s">
        <v>19</v>
      </c>
      <c r="F133" s="74">
        <v>43567</v>
      </c>
      <c r="G133" s="174"/>
      <c r="H133" s="115"/>
      <c r="I133" s="115"/>
      <c r="J133" s="115"/>
      <c r="K133" s="115"/>
      <c r="L133" s="115"/>
      <c r="M133" s="115"/>
      <c r="N133" s="115"/>
      <c r="O133" s="115"/>
      <c r="P133" s="115"/>
      <c r="Q133" s="63">
        <f t="shared" si="13"/>
        <v>0</v>
      </c>
      <c r="R133" s="63">
        <f t="shared" si="14"/>
        <v>0</v>
      </c>
      <c r="S133" s="63">
        <f t="shared" si="15"/>
        <v>0</v>
      </c>
    </row>
    <row r="134" spans="1:19" s="77" customFormat="1" ht="12" x14ac:dyDescent="0.2">
      <c r="A134" s="68" t="s">
        <v>9116</v>
      </c>
      <c r="B134" s="68" t="s">
        <v>9135</v>
      </c>
      <c r="C134" s="88">
        <v>66</v>
      </c>
      <c r="D134" s="73" t="s">
        <v>9154</v>
      </c>
      <c r="E134" s="68" t="s">
        <v>19</v>
      </c>
      <c r="F134" s="74">
        <v>43567</v>
      </c>
      <c r="G134" s="174"/>
      <c r="H134" s="115"/>
      <c r="I134" s="115"/>
      <c r="J134" s="115"/>
      <c r="K134" s="115"/>
      <c r="L134" s="115"/>
      <c r="M134" s="115"/>
      <c r="N134" s="115"/>
      <c r="O134" s="115"/>
      <c r="P134" s="115"/>
      <c r="Q134" s="63">
        <f t="shared" si="13"/>
        <v>0</v>
      </c>
      <c r="R134" s="63">
        <f t="shared" si="14"/>
        <v>0</v>
      </c>
      <c r="S134" s="63">
        <f t="shared" si="15"/>
        <v>0</v>
      </c>
    </row>
    <row r="135" spans="1:19" s="77" customFormat="1" ht="12" x14ac:dyDescent="0.2">
      <c r="A135" s="68" t="s">
        <v>9117</v>
      </c>
      <c r="B135" s="68" t="s">
        <v>9136</v>
      </c>
      <c r="C135" s="88">
        <v>67</v>
      </c>
      <c r="D135" s="73" t="s">
        <v>9155</v>
      </c>
      <c r="E135" s="68" t="s">
        <v>19</v>
      </c>
      <c r="F135" s="74">
        <v>43568</v>
      </c>
      <c r="G135" s="174"/>
      <c r="H135" s="115"/>
      <c r="I135" s="115"/>
      <c r="J135" s="115"/>
      <c r="K135" s="115"/>
      <c r="L135" s="115"/>
      <c r="M135" s="115"/>
      <c r="N135" s="115"/>
      <c r="O135" s="115"/>
      <c r="P135" s="115"/>
      <c r="Q135" s="63">
        <f t="shared" si="13"/>
        <v>0</v>
      </c>
      <c r="R135" s="63">
        <f t="shared" si="14"/>
        <v>0</v>
      </c>
      <c r="S135" s="63">
        <f t="shared" si="15"/>
        <v>0</v>
      </c>
    </row>
    <row r="136" spans="1:19" s="77" customFormat="1" ht="12" x14ac:dyDescent="0.2">
      <c r="A136" s="68" t="s">
        <v>9118</v>
      </c>
      <c r="B136" s="68" t="s">
        <v>9137</v>
      </c>
      <c r="C136" s="88">
        <v>68</v>
      </c>
      <c r="D136" s="73" t="s">
        <v>9282</v>
      </c>
      <c r="E136" s="68" t="s">
        <v>19</v>
      </c>
      <c r="F136" s="74">
        <v>43569</v>
      </c>
      <c r="G136" s="174">
        <v>123.56</v>
      </c>
      <c r="H136" s="115"/>
      <c r="I136" s="115"/>
      <c r="J136" s="115"/>
      <c r="K136" s="115"/>
      <c r="L136" s="115"/>
      <c r="M136" s="115"/>
      <c r="N136" s="115"/>
      <c r="O136" s="115"/>
      <c r="P136" s="115"/>
      <c r="Q136" s="63">
        <f t="shared" si="13"/>
        <v>123.56</v>
      </c>
      <c r="R136" s="63">
        <f t="shared" si="14"/>
        <v>0</v>
      </c>
      <c r="S136" s="63">
        <f t="shared" si="15"/>
        <v>123.56</v>
      </c>
    </row>
    <row r="137" spans="1:19" s="77" customFormat="1" ht="12" x14ac:dyDescent="0.2">
      <c r="A137" s="68" t="s">
        <v>9119</v>
      </c>
      <c r="B137" s="68" t="s">
        <v>9138</v>
      </c>
      <c r="C137" s="88">
        <v>69</v>
      </c>
      <c r="D137" s="73" t="s">
        <v>9156</v>
      </c>
      <c r="E137" s="68" t="s">
        <v>19</v>
      </c>
      <c r="F137" s="74">
        <v>43570</v>
      </c>
      <c r="G137" s="174"/>
      <c r="H137" s="115"/>
      <c r="I137" s="115"/>
      <c r="J137" s="115"/>
      <c r="K137" s="115"/>
      <c r="L137" s="115"/>
      <c r="M137" s="115"/>
      <c r="N137" s="115"/>
      <c r="O137" s="115"/>
      <c r="P137" s="115"/>
      <c r="Q137" s="63">
        <f t="shared" si="13"/>
        <v>0</v>
      </c>
      <c r="R137" s="63">
        <f t="shared" si="14"/>
        <v>0</v>
      </c>
      <c r="S137" s="63">
        <f t="shared" si="15"/>
        <v>0</v>
      </c>
    </row>
    <row r="138" spans="1:19" s="77" customFormat="1" ht="12" x14ac:dyDescent="0.2">
      <c r="A138" s="68" t="s">
        <v>9120</v>
      </c>
      <c r="B138" s="68" t="s">
        <v>9139</v>
      </c>
      <c r="C138" s="88">
        <v>70</v>
      </c>
      <c r="D138" s="73" t="s">
        <v>9287</v>
      </c>
      <c r="E138" s="68" t="s">
        <v>19</v>
      </c>
      <c r="F138" s="74">
        <v>43571</v>
      </c>
      <c r="G138" s="174">
        <f>326.55+175.06+84.17</f>
        <v>585.78</v>
      </c>
      <c r="H138" s="115"/>
      <c r="I138" s="115"/>
      <c r="J138" s="115"/>
      <c r="K138" s="115"/>
      <c r="L138" s="115"/>
      <c r="M138" s="115"/>
      <c r="N138" s="115"/>
      <c r="O138" s="115"/>
      <c r="P138" s="115"/>
      <c r="Q138" s="63">
        <f t="shared" si="13"/>
        <v>585.78</v>
      </c>
      <c r="R138" s="63">
        <f t="shared" si="14"/>
        <v>0</v>
      </c>
      <c r="S138" s="63">
        <f t="shared" si="15"/>
        <v>585.78</v>
      </c>
    </row>
    <row r="139" spans="1:19" s="77" customFormat="1" ht="12" x14ac:dyDescent="0.2">
      <c r="A139" s="68" t="s">
        <v>9121</v>
      </c>
      <c r="B139" s="68" t="s">
        <v>9140</v>
      </c>
      <c r="C139" s="88">
        <v>71</v>
      </c>
      <c r="D139" s="73" t="s">
        <v>9157</v>
      </c>
      <c r="E139" s="68" t="s">
        <v>19</v>
      </c>
      <c r="F139" s="74">
        <v>43572</v>
      </c>
      <c r="G139" s="174">
        <v>94.4</v>
      </c>
      <c r="H139" s="115"/>
      <c r="I139" s="115"/>
      <c r="J139" s="115"/>
      <c r="K139" s="115"/>
      <c r="L139" s="115"/>
      <c r="M139" s="115"/>
      <c r="N139" s="115"/>
      <c r="O139" s="115"/>
      <c r="P139" s="115"/>
      <c r="Q139" s="63">
        <f t="shared" si="13"/>
        <v>94.4</v>
      </c>
      <c r="R139" s="63">
        <f t="shared" si="14"/>
        <v>0</v>
      </c>
      <c r="S139" s="63">
        <f t="shared" si="15"/>
        <v>94.4</v>
      </c>
    </row>
    <row r="140" spans="1:19" s="77" customFormat="1" ht="12" x14ac:dyDescent="0.2">
      <c r="A140" s="68" t="s">
        <v>9122</v>
      </c>
      <c r="B140" s="68" t="s">
        <v>9141</v>
      </c>
      <c r="C140" s="88">
        <v>72</v>
      </c>
      <c r="D140" s="73" t="s">
        <v>9158</v>
      </c>
      <c r="E140" s="68" t="s">
        <v>19</v>
      </c>
      <c r="F140" s="74">
        <v>43572</v>
      </c>
      <c r="G140" s="174"/>
      <c r="H140" s="115"/>
      <c r="I140" s="115"/>
      <c r="J140" s="115"/>
      <c r="K140" s="115"/>
      <c r="L140" s="115"/>
      <c r="M140" s="115"/>
      <c r="N140" s="115"/>
      <c r="O140" s="115"/>
      <c r="P140" s="115"/>
      <c r="Q140" s="63">
        <f t="shared" si="13"/>
        <v>0</v>
      </c>
      <c r="R140" s="63">
        <f t="shared" si="14"/>
        <v>0</v>
      </c>
      <c r="S140" s="63">
        <f t="shared" si="15"/>
        <v>0</v>
      </c>
    </row>
    <row r="141" spans="1:19" s="77" customFormat="1" ht="12" x14ac:dyDescent="0.2">
      <c r="A141" s="68" t="s">
        <v>9123</v>
      </c>
      <c r="B141" s="68" t="s">
        <v>9142</v>
      </c>
      <c r="C141" s="88">
        <v>73</v>
      </c>
      <c r="D141" s="73" t="s">
        <v>9159</v>
      </c>
      <c r="E141" s="68" t="s">
        <v>19</v>
      </c>
      <c r="F141" s="74">
        <v>43579</v>
      </c>
      <c r="G141" s="174">
        <v>700</v>
      </c>
      <c r="H141" s="115"/>
      <c r="I141" s="115"/>
      <c r="J141" s="115"/>
      <c r="K141" s="115"/>
      <c r="L141" s="115"/>
      <c r="M141" s="115"/>
      <c r="N141" s="115"/>
      <c r="O141" s="115"/>
      <c r="P141" s="115"/>
      <c r="Q141" s="63">
        <f t="shared" si="13"/>
        <v>700</v>
      </c>
      <c r="R141" s="63">
        <f t="shared" si="14"/>
        <v>0</v>
      </c>
      <c r="S141" s="63">
        <f t="shared" si="15"/>
        <v>700</v>
      </c>
    </row>
    <row r="142" spans="1:19" s="77" customFormat="1" ht="12" x14ac:dyDescent="0.2">
      <c r="A142" s="68" t="s">
        <v>9123</v>
      </c>
      <c r="B142" s="68" t="s">
        <v>9142</v>
      </c>
      <c r="C142" s="88">
        <v>73</v>
      </c>
      <c r="D142" s="73" t="s">
        <v>9160</v>
      </c>
      <c r="E142" s="68" t="s">
        <v>19</v>
      </c>
      <c r="F142" s="74">
        <v>43579</v>
      </c>
      <c r="G142" s="174"/>
      <c r="H142" s="115"/>
      <c r="I142" s="115"/>
      <c r="J142" s="115"/>
      <c r="K142" s="115"/>
      <c r="L142" s="115"/>
      <c r="M142" s="115"/>
      <c r="N142" s="115"/>
      <c r="O142" s="115"/>
      <c r="P142" s="115"/>
      <c r="Q142" s="63">
        <f t="shared" si="13"/>
        <v>0</v>
      </c>
      <c r="R142" s="63">
        <f t="shared" si="14"/>
        <v>0</v>
      </c>
      <c r="S142" s="63">
        <f t="shared" si="15"/>
        <v>0</v>
      </c>
    </row>
    <row r="143" spans="1:19" s="77" customFormat="1" ht="12" x14ac:dyDescent="0.2">
      <c r="A143" s="68" t="s">
        <v>9124</v>
      </c>
      <c r="B143" s="68" t="s">
        <v>9143</v>
      </c>
      <c r="C143" s="88">
        <v>74</v>
      </c>
      <c r="D143" s="73" t="s">
        <v>9161</v>
      </c>
      <c r="E143" s="68" t="s">
        <v>19</v>
      </c>
      <c r="F143" s="74">
        <v>43579</v>
      </c>
      <c r="G143" s="174"/>
      <c r="H143" s="115"/>
      <c r="I143" s="115"/>
      <c r="J143" s="115"/>
      <c r="K143" s="115"/>
      <c r="L143" s="115"/>
      <c r="M143" s="115"/>
      <c r="N143" s="115"/>
      <c r="O143" s="115"/>
      <c r="P143" s="115"/>
      <c r="Q143" s="63">
        <f t="shared" si="13"/>
        <v>0</v>
      </c>
      <c r="R143" s="63">
        <f t="shared" si="14"/>
        <v>0</v>
      </c>
      <c r="S143" s="63">
        <f t="shared" si="15"/>
        <v>0</v>
      </c>
    </row>
    <row r="144" spans="1:19" s="77" customFormat="1" ht="12" x14ac:dyDescent="0.2">
      <c r="A144" s="68" t="s">
        <v>9124</v>
      </c>
      <c r="B144" s="68" t="s">
        <v>9143</v>
      </c>
      <c r="C144" s="88">
        <v>74</v>
      </c>
      <c r="D144" s="73" t="s">
        <v>9162</v>
      </c>
      <c r="E144" s="68" t="s">
        <v>19</v>
      </c>
      <c r="F144" s="74">
        <v>43579</v>
      </c>
      <c r="G144" s="174"/>
      <c r="H144" s="115"/>
      <c r="I144" s="115"/>
      <c r="J144" s="115"/>
      <c r="K144" s="115"/>
      <c r="L144" s="115"/>
      <c r="M144" s="115"/>
      <c r="N144" s="115"/>
      <c r="O144" s="115"/>
      <c r="P144" s="115"/>
      <c r="Q144" s="63">
        <f t="shared" si="13"/>
        <v>0</v>
      </c>
      <c r="R144" s="63">
        <f t="shared" si="14"/>
        <v>0</v>
      </c>
      <c r="S144" s="63">
        <f t="shared" si="15"/>
        <v>0</v>
      </c>
    </row>
    <row r="145" spans="1:19" s="77" customFormat="1" ht="12" x14ac:dyDescent="0.2">
      <c r="A145" s="68" t="s">
        <v>9125</v>
      </c>
      <c r="B145" s="68" t="s">
        <v>9144</v>
      </c>
      <c r="C145" s="88">
        <v>75</v>
      </c>
      <c r="D145" s="73" t="s">
        <v>9163</v>
      </c>
      <c r="E145" s="68" t="s">
        <v>19</v>
      </c>
      <c r="F145" s="74">
        <v>43579</v>
      </c>
      <c r="G145" s="174"/>
      <c r="H145" s="115"/>
      <c r="I145" s="115"/>
      <c r="J145" s="115"/>
      <c r="K145" s="115"/>
      <c r="L145" s="115"/>
      <c r="M145" s="115"/>
      <c r="N145" s="115"/>
      <c r="O145" s="115"/>
      <c r="P145" s="115"/>
      <c r="Q145" s="63">
        <f t="shared" si="13"/>
        <v>0</v>
      </c>
      <c r="R145" s="63">
        <f t="shared" si="14"/>
        <v>0</v>
      </c>
      <c r="S145" s="63">
        <f t="shared" si="15"/>
        <v>0</v>
      </c>
    </row>
    <row r="146" spans="1:19" s="77" customFormat="1" ht="12" x14ac:dyDescent="0.2">
      <c r="A146" s="68" t="s">
        <v>9126</v>
      </c>
      <c r="B146" s="68" t="s">
        <v>9145</v>
      </c>
      <c r="C146" s="88">
        <v>76</v>
      </c>
      <c r="D146" s="73" t="s">
        <v>9164</v>
      </c>
      <c r="E146" s="68" t="s">
        <v>19</v>
      </c>
      <c r="F146" s="74">
        <v>43580</v>
      </c>
      <c r="G146" s="174"/>
      <c r="H146" s="115"/>
      <c r="I146" s="115"/>
      <c r="J146" s="115"/>
      <c r="K146" s="115"/>
      <c r="L146" s="115"/>
      <c r="M146" s="115"/>
      <c r="N146" s="115"/>
      <c r="O146" s="115"/>
      <c r="P146" s="115"/>
      <c r="Q146" s="63">
        <f t="shared" si="13"/>
        <v>0</v>
      </c>
      <c r="R146" s="63">
        <f t="shared" si="14"/>
        <v>0</v>
      </c>
      <c r="S146" s="63">
        <f t="shared" si="15"/>
        <v>0</v>
      </c>
    </row>
    <row r="147" spans="1:19" s="77" customFormat="1" ht="12" x14ac:dyDescent="0.2">
      <c r="A147" s="68" t="s">
        <v>9127</v>
      </c>
      <c r="B147" s="68" t="s">
        <v>9146</v>
      </c>
      <c r="C147" s="88">
        <v>77</v>
      </c>
      <c r="D147" s="73" t="s">
        <v>9165</v>
      </c>
      <c r="E147" s="68" t="s">
        <v>19</v>
      </c>
      <c r="F147" s="74">
        <v>43582</v>
      </c>
      <c r="G147" s="174"/>
      <c r="H147" s="115"/>
      <c r="I147" s="115"/>
      <c r="J147" s="115"/>
      <c r="K147" s="115"/>
      <c r="L147" s="115"/>
      <c r="M147" s="115"/>
      <c r="N147" s="115"/>
      <c r="O147" s="115"/>
      <c r="P147" s="115"/>
      <c r="Q147" s="63">
        <f t="shared" si="13"/>
        <v>0</v>
      </c>
      <c r="R147" s="63">
        <f t="shared" si="14"/>
        <v>0</v>
      </c>
      <c r="S147" s="63">
        <f t="shared" si="15"/>
        <v>0</v>
      </c>
    </row>
    <row r="148" spans="1:19" s="77" customFormat="1" ht="12" x14ac:dyDescent="0.2">
      <c r="A148" s="68" t="s">
        <v>9128</v>
      </c>
      <c r="B148" s="68" t="s">
        <v>9147</v>
      </c>
      <c r="C148" s="88">
        <v>78</v>
      </c>
      <c r="D148" s="73" t="s">
        <v>9283</v>
      </c>
      <c r="E148" s="68" t="s">
        <v>19</v>
      </c>
      <c r="F148" s="74">
        <v>43583</v>
      </c>
      <c r="G148" s="174">
        <v>131.53</v>
      </c>
      <c r="H148" s="115"/>
      <c r="I148" s="115"/>
      <c r="J148" s="115"/>
      <c r="K148" s="115"/>
      <c r="L148" s="115"/>
      <c r="M148" s="115"/>
      <c r="N148" s="115"/>
      <c r="O148" s="115"/>
      <c r="P148" s="115"/>
      <c r="Q148" s="63">
        <f t="shared" si="13"/>
        <v>131.53</v>
      </c>
      <c r="R148" s="63">
        <f t="shared" si="14"/>
        <v>0</v>
      </c>
      <c r="S148" s="63">
        <f t="shared" si="15"/>
        <v>131.53</v>
      </c>
    </row>
    <row r="149" spans="1:19" s="77" customFormat="1" ht="12" x14ac:dyDescent="0.2">
      <c r="A149" s="68" t="s">
        <v>9129</v>
      </c>
      <c r="B149" s="68" t="s">
        <v>9148</v>
      </c>
      <c r="C149" s="88">
        <v>79</v>
      </c>
      <c r="D149" s="73" t="s">
        <v>9166</v>
      </c>
      <c r="E149" s="68" t="s">
        <v>19</v>
      </c>
      <c r="F149" s="74">
        <v>43584</v>
      </c>
      <c r="G149" s="174"/>
      <c r="H149" s="115"/>
      <c r="I149" s="115"/>
      <c r="J149" s="115"/>
      <c r="K149" s="115"/>
      <c r="L149" s="115"/>
      <c r="M149" s="115"/>
      <c r="N149" s="115"/>
      <c r="O149" s="115"/>
      <c r="P149" s="115"/>
      <c r="Q149" s="63">
        <f t="shared" si="13"/>
        <v>0</v>
      </c>
      <c r="R149" s="63">
        <f t="shared" si="14"/>
        <v>0</v>
      </c>
      <c r="S149" s="63">
        <f t="shared" si="15"/>
        <v>0</v>
      </c>
    </row>
    <row r="150" spans="1:19" s="77" customFormat="1" ht="12" x14ac:dyDescent="0.2">
      <c r="A150" s="68" t="s">
        <v>9130</v>
      </c>
      <c r="B150" s="68" t="s">
        <v>9149</v>
      </c>
      <c r="C150" s="88">
        <v>80</v>
      </c>
      <c r="D150" s="73" t="s">
        <v>9167</v>
      </c>
      <c r="E150" s="68" t="s">
        <v>19</v>
      </c>
      <c r="F150" s="74">
        <v>43584</v>
      </c>
      <c r="G150" s="174">
        <v>48.42</v>
      </c>
      <c r="H150" s="115"/>
      <c r="I150" s="115"/>
      <c r="J150" s="115"/>
      <c r="K150" s="115"/>
      <c r="L150" s="115"/>
      <c r="M150" s="115"/>
      <c r="N150" s="115"/>
      <c r="O150" s="115"/>
      <c r="P150" s="115"/>
      <c r="Q150" s="63">
        <f t="shared" si="13"/>
        <v>48.42</v>
      </c>
      <c r="R150" s="63">
        <f t="shared" si="14"/>
        <v>0</v>
      </c>
      <c r="S150" s="63">
        <f t="shared" si="15"/>
        <v>48.42</v>
      </c>
    </row>
    <row r="151" spans="1:19" s="77" customFormat="1" ht="12" x14ac:dyDescent="0.2">
      <c r="A151" s="68" t="s">
        <v>9131</v>
      </c>
      <c r="B151" s="68" t="s">
        <v>9150</v>
      </c>
      <c r="C151" s="88">
        <v>81</v>
      </c>
      <c r="D151" s="73" t="s">
        <v>9168</v>
      </c>
      <c r="E151" s="68" t="s">
        <v>19</v>
      </c>
      <c r="F151" s="74">
        <v>43585</v>
      </c>
      <c r="G151" s="174">
        <v>17689.45</v>
      </c>
      <c r="H151" s="115"/>
      <c r="I151" s="115"/>
      <c r="J151" s="115"/>
      <c r="K151" s="115"/>
      <c r="L151" s="115"/>
      <c r="M151" s="115"/>
      <c r="N151" s="115"/>
      <c r="O151" s="115"/>
      <c r="P151" s="115"/>
      <c r="Q151" s="63">
        <f t="shared" si="13"/>
        <v>17689.45</v>
      </c>
      <c r="R151" s="63">
        <f t="shared" si="14"/>
        <v>0</v>
      </c>
      <c r="S151" s="63">
        <f t="shared" si="15"/>
        <v>17689.45</v>
      </c>
    </row>
    <row r="152" spans="1:19" s="77" customFormat="1" ht="12" x14ac:dyDescent="0.2">
      <c r="A152" s="68" t="s">
        <v>9132</v>
      </c>
      <c r="B152" s="68" t="s">
        <v>9151</v>
      </c>
      <c r="C152" s="88">
        <v>82</v>
      </c>
      <c r="D152" s="73" t="s">
        <v>9169</v>
      </c>
      <c r="E152" s="68" t="s">
        <v>7127</v>
      </c>
      <c r="F152" s="74">
        <v>43585</v>
      </c>
      <c r="G152" s="174">
        <v>214.69</v>
      </c>
      <c r="H152" s="115"/>
      <c r="I152" s="115"/>
      <c r="J152" s="115"/>
      <c r="K152" s="115"/>
      <c r="L152" s="115"/>
      <c r="M152" s="115"/>
      <c r="N152" s="115"/>
      <c r="O152" s="115"/>
      <c r="P152" s="115"/>
      <c r="Q152" s="63">
        <f t="shared" si="13"/>
        <v>214.69</v>
      </c>
      <c r="R152" s="63">
        <f t="shared" si="14"/>
        <v>0</v>
      </c>
      <c r="S152" s="63">
        <f t="shared" si="15"/>
        <v>214.69</v>
      </c>
    </row>
    <row r="153" spans="1:19" s="77" customFormat="1" ht="12" x14ac:dyDescent="0.2">
      <c r="A153" s="74" t="s">
        <v>9177</v>
      </c>
      <c r="B153" s="68" t="s">
        <v>9178</v>
      </c>
      <c r="C153" s="88">
        <v>83</v>
      </c>
      <c r="D153" s="73" t="s">
        <v>9179</v>
      </c>
      <c r="E153" s="167" t="s">
        <v>19</v>
      </c>
      <c r="F153" s="74">
        <v>43588</v>
      </c>
      <c r="G153" s="174">
        <v>50.26</v>
      </c>
      <c r="H153" s="115"/>
      <c r="I153" s="115"/>
      <c r="J153" s="115"/>
      <c r="K153" s="115"/>
      <c r="L153" s="115"/>
      <c r="M153" s="115"/>
      <c r="N153" s="115"/>
      <c r="O153" s="115"/>
      <c r="P153" s="115"/>
      <c r="Q153" s="63">
        <f t="shared" si="13"/>
        <v>50.26</v>
      </c>
      <c r="R153" s="63">
        <f t="shared" si="14"/>
        <v>0</v>
      </c>
      <c r="S153" s="63">
        <f t="shared" si="15"/>
        <v>50.26</v>
      </c>
    </row>
    <row r="154" spans="1:19" s="77" customFormat="1" ht="12" x14ac:dyDescent="0.2">
      <c r="A154" s="74" t="s">
        <v>9180</v>
      </c>
      <c r="B154" s="68" t="s">
        <v>9181</v>
      </c>
      <c r="C154" s="88">
        <v>84</v>
      </c>
      <c r="D154" s="73" t="s">
        <v>9182</v>
      </c>
      <c r="E154" s="195" t="s">
        <v>19</v>
      </c>
      <c r="F154" s="74">
        <v>43589</v>
      </c>
      <c r="G154" s="174"/>
      <c r="H154" s="115"/>
      <c r="I154" s="115"/>
      <c r="J154" s="115"/>
      <c r="K154" s="115"/>
      <c r="L154" s="115"/>
      <c r="M154" s="115"/>
      <c r="N154" s="115"/>
      <c r="O154" s="115"/>
      <c r="P154" s="115"/>
      <c r="Q154" s="63">
        <f t="shared" si="13"/>
        <v>0</v>
      </c>
      <c r="R154" s="63">
        <f t="shared" si="14"/>
        <v>0</v>
      </c>
      <c r="S154" s="63">
        <f t="shared" si="15"/>
        <v>0</v>
      </c>
    </row>
    <row r="155" spans="1:19" s="77" customFormat="1" ht="12" x14ac:dyDescent="0.2">
      <c r="A155" s="74" t="s">
        <v>9183</v>
      </c>
      <c r="B155" s="68" t="s">
        <v>9184</v>
      </c>
      <c r="C155" s="88">
        <v>85</v>
      </c>
      <c r="D155" s="73" t="s">
        <v>9185</v>
      </c>
      <c r="E155" s="167" t="s">
        <v>19</v>
      </c>
      <c r="F155" s="74">
        <v>43589</v>
      </c>
      <c r="G155" s="174">
        <f>611.28+396.9+41.3+229.37</f>
        <v>1278.8499999999999</v>
      </c>
      <c r="H155" s="115"/>
      <c r="I155" s="115"/>
      <c r="J155" s="115"/>
      <c r="K155" s="115"/>
      <c r="L155" s="115"/>
      <c r="M155" s="115"/>
      <c r="N155" s="115"/>
      <c r="O155" s="115"/>
      <c r="P155" s="115"/>
      <c r="Q155" s="63">
        <f t="shared" si="13"/>
        <v>1278.8499999999999</v>
      </c>
      <c r="R155" s="63">
        <f t="shared" si="14"/>
        <v>0</v>
      </c>
      <c r="S155" s="63">
        <f t="shared" si="15"/>
        <v>1278.8499999999999</v>
      </c>
    </row>
    <row r="156" spans="1:19" s="77" customFormat="1" ht="12" x14ac:dyDescent="0.2">
      <c r="A156" s="74" t="s">
        <v>9186</v>
      </c>
      <c r="B156" s="68" t="s">
        <v>9187</v>
      </c>
      <c r="C156" s="88">
        <v>86</v>
      </c>
      <c r="D156" s="73" t="s">
        <v>9188</v>
      </c>
      <c r="E156" s="195" t="s">
        <v>7127</v>
      </c>
      <c r="F156" s="74">
        <v>43590</v>
      </c>
      <c r="G156" s="174"/>
      <c r="H156" s="115"/>
      <c r="I156" s="115"/>
      <c r="J156" s="115"/>
      <c r="K156" s="115"/>
      <c r="L156" s="115"/>
      <c r="M156" s="115"/>
      <c r="N156" s="115"/>
      <c r="O156" s="115"/>
      <c r="P156" s="115"/>
      <c r="Q156" s="63">
        <f t="shared" si="13"/>
        <v>0</v>
      </c>
      <c r="R156" s="63">
        <f t="shared" si="14"/>
        <v>0</v>
      </c>
      <c r="S156" s="63">
        <f t="shared" si="15"/>
        <v>0</v>
      </c>
    </row>
    <row r="157" spans="1:19" s="77" customFormat="1" ht="12" x14ac:dyDescent="0.2">
      <c r="A157" s="68" t="s">
        <v>9189</v>
      </c>
      <c r="B157" s="68" t="s">
        <v>9190</v>
      </c>
      <c r="C157" s="88">
        <v>87</v>
      </c>
      <c r="D157" s="73" t="s">
        <v>9176</v>
      </c>
      <c r="E157" s="195" t="s">
        <v>19</v>
      </c>
      <c r="F157" s="74">
        <v>43592</v>
      </c>
      <c r="G157" s="174">
        <f>1654.75+166.63</f>
        <v>1821.38</v>
      </c>
      <c r="H157" s="115"/>
      <c r="I157" s="115"/>
      <c r="J157" s="115"/>
      <c r="K157" s="115"/>
      <c r="L157" s="115"/>
      <c r="M157" s="115"/>
      <c r="N157" s="115"/>
      <c r="O157" s="115"/>
      <c r="P157" s="115"/>
      <c r="Q157" s="63">
        <f t="shared" si="13"/>
        <v>1821.38</v>
      </c>
      <c r="R157" s="63">
        <f t="shared" si="14"/>
        <v>0</v>
      </c>
      <c r="S157" s="63">
        <f t="shared" si="15"/>
        <v>1821.38</v>
      </c>
    </row>
    <row r="158" spans="1:19" s="77" customFormat="1" ht="12" x14ac:dyDescent="0.2">
      <c r="A158" s="74" t="s">
        <v>9191</v>
      </c>
      <c r="B158" s="68" t="s">
        <v>9192</v>
      </c>
      <c r="C158" s="88">
        <v>88</v>
      </c>
      <c r="D158" s="73" t="s">
        <v>9193</v>
      </c>
      <c r="E158" s="195" t="s">
        <v>19</v>
      </c>
      <c r="F158" s="74">
        <v>43594</v>
      </c>
      <c r="G158" s="174"/>
      <c r="H158" s="115"/>
      <c r="I158" s="115"/>
      <c r="J158" s="115"/>
      <c r="K158" s="115"/>
      <c r="L158" s="115"/>
      <c r="M158" s="115"/>
      <c r="N158" s="115"/>
      <c r="O158" s="115"/>
      <c r="P158" s="115"/>
      <c r="Q158" s="63">
        <f t="shared" si="13"/>
        <v>0</v>
      </c>
      <c r="R158" s="63">
        <f t="shared" si="14"/>
        <v>0</v>
      </c>
      <c r="S158" s="63">
        <f t="shared" si="15"/>
        <v>0</v>
      </c>
    </row>
    <row r="159" spans="1:19" s="77" customFormat="1" ht="12" x14ac:dyDescent="0.2">
      <c r="A159" s="68" t="s">
        <v>9197</v>
      </c>
      <c r="B159" s="68" t="s">
        <v>9198</v>
      </c>
      <c r="C159" s="88">
        <v>89</v>
      </c>
      <c r="D159" s="73" t="s">
        <v>9194</v>
      </c>
      <c r="E159" s="195" t="s">
        <v>19</v>
      </c>
      <c r="F159" s="74">
        <v>43594</v>
      </c>
      <c r="G159" s="174"/>
      <c r="H159" s="115"/>
      <c r="I159" s="115"/>
      <c r="J159" s="115"/>
      <c r="K159" s="115"/>
      <c r="L159" s="115"/>
      <c r="M159" s="115"/>
      <c r="N159" s="115"/>
      <c r="O159" s="115"/>
      <c r="P159" s="115"/>
      <c r="Q159" s="63">
        <f t="shared" si="13"/>
        <v>0</v>
      </c>
      <c r="R159" s="63">
        <f t="shared" si="14"/>
        <v>0</v>
      </c>
      <c r="S159" s="63">
        <f t="shared" si="15"/>
        <v>0</v>
      </c>
    </row>
    <row r="160" spans="1:19" s="77" customFormat="1" ht="12" x14ac:dyDescent="0.2">
      <c r="A160" s="68" t="s">
        <v>9197</v>
      </c>
      <c r="B160" s="68" t="s">
        <v>9198</v>
      </c>
      <c r="C160" s="88">
        <v>89</v>
      </c>
      <c r="D160" s="73" t="s">
        <v>9195</v>
      </c>
      <c r="E160" s="195" t="s">
        <v>19</v>
      </c>
      <c r="F160" s="74">
        <v>43594</v>
      </c>
      <c r="G160" s="174"/>
      <c r="H160" s="115"/>
      <c r="I160" s="115"/>
      <c r="J160" s="115"/>
      <c r="K160" s="115"/>
      <c r="L160" s="115"/>
      <c r="M160" s="115"/>
      <c r="N160" s="115"/>
      <c r="O160" s="115"/>
      <c r="P160" s="115"/>
      <c r="Q160" s="63">
        <f t="shared" si="13"/>
        <v>0</v>
      </c>
      <c r="R160" s="63">
        <f t="shared" si="14"/>
        <v>0</v>
      </c>
      <c r="S160" s="63">
        <f t="shared" si="15"/>
        <v>0</v>
      </c>
    </row>
    <row r="161" spans="1:19" s="77" customFormat="1" ht="12" x14ac:dyDescent="0.2">
      <c r="A161" s="68" t="s">
        <v>9197</v>
      </c>
      <c r="B161" s="68" t="s">
        <v>9198</v>
      </c>
      <c r="C161" s="88">
        <v>89</v>
      </c>
      <c r="D161" s="73" t="s">
        <v>9196</v>
      </c>
      <c r="E161" s="195" t="s">
        <v>19</v>
      </c>
      <c r="F161" s="74">
        <v>43594</v>
      </c>
      <c r="G161" s="174"/>
      <c r="H161" s="115"/>
      <c r="I161" s="115"/>
      <c r="J161" s="115"/>
      <c r="K161" s="115"/>
      <c r="L161" s="115"/>
      <c r="M161" s="115"/>
      <c r="N161" s="115"/>
      <c r="O161" s="115"/>
      <c r="P161" s="115"/>
      <c r="Q161" s="63">
        <f t="shared" si="13"/>
        <v>0</v>
      </c>
      <c r="R161" s="63">
        <f t="shared" si="14"/>
        <v>0</v>
      </c>
      <c r="S161" s="63">
        <f t="shared" si="15"/>
        <v>0</v>
      </c>
    </row>
    <row r="162" spans="1:19" s="77" customFormat="1" ht="12" x14ac:dyDescent="0.2">
      <c r="A162" s="74" t="s">
        <v>9199</v>
      </c>
      <c r="B162" s="68" t="s">
        <v>9200</v>
      </c>
      <c r="C162" s="88">
        <v>90</v>
      </c>
      <c r="D162" s="73" t="s">
        <v>9201</v>
      </c>
      <c r="E162" s="68" t="s">
        <v>19</v>
      </c>
      <c r="F162" s="74">
        <v>43595</v>
      </c>
      <c r="G162" s="174"/>
      <c r="H162" s="115"/>
      <c r="I162" s="115"/>
      <c r="J162" s="115"/>
      <c r="K162" s="115"/>
      <c r="L162" s="115"/>
      <c r="M162" s="115"/>
      <c r="N162" s="115"/>
      <c r="O162" s="115"/>
      <c r="P162" s="115"/>
      <c r="Q162" s="63">
        <f t="shared" si="13"/>
        <v>0</v>
      </c>
      <c r="R162" s="63">
        <f t="shared" si="14"/>
        <v>0</v>
      </c>
      <c r="S162" s="63">
        <f t="shared" si="15"/>
        <v>0</v>
      </c>
    </row>
    <row r="163" spans="1:19" s="77" customFormat="1" ht="12" x14ac:dyDescent="0.2">
      <c r="A163" s="74" t="s">
        <v>9205</v>
      </c>
      <c r="B163" s="68" t="s">
        <v>9206</v>
      </c>
      <c r="C163" s="88">
        <v>91</v>
      </c>
      <c r="D163" s="73" t="s">
        <v>9202</v>
      </c>
      <c r="E163" s="68" t="s">
        <v>19</v>
      </c>
      <c r="F163" s="74">
        <v>43597</v>
      </c>
      <c r="G163" s="174">
        <v>107</v>
      </c>
      <c r="H163" s="115"/>
      <c r="I163" s="115"/>
      <c r="J163" s="115"/>
      <c r="K163" s="115"/>
      <c r="L163" s="115"/>
      <c r="M163" s="115"/>
      <c r="N163" s="115"/>
      <c r="O163" s="115"/>
      <c r="P163" s="115"/>
      <c r="Q163" s="63">
        <f t="shared" si="13"/>
        <v>107</v>
      </c>
      <c r="R163" s="63">
        <f t="shared" si="14"/>
        <v>0</v>
      </c>
      <c r="S163" s="63">
        <f t="shared" si="15"/>
        <v>107</v>
      </c>
    </row>
    <row r="164" spans="1:19" s="77" customFormat="1" ht="12" x14ac:dyDescent="0.2">
      <c r="A164" s="74" t="s">
        <v>9205</v>
      </c>
      <c r="B164" s="68" t="s">
        <v>9206</v>
      </c>
      <c r="C164" s="88">
        <v>91</v>
      </c>
      <c r="D164" s="73" t="s">
        <v>9203</v>
      </c>
      <c r="E164" s="68" t="s">
        <v>19</v>
      </c>
      <c r="F164" s="74">
        <v>43597</v>
      </c>
      <c r="G164" s="174">
        <v>137.09</v>
      </c>
      <c r="H164" s="115"/>
      <c r="I164" s="115"/>
      <c r="J164" s="115"/>
      <c r="K164" s="115"/>
      <c r="L164" s="115"/>
      <c r="M164" s="115"/>
      <c r="N164" s="115"/>
      <c r="O164" s="115"/>
      <c r="P164" s="115"/>
      <c r="Q164" s="63">
        <f t="shared" si="13"/>
        <v>137.09</v>
      </c>
      <c r="R164" s="63">
        <f t="shared" si="14"/>
        <v>0</v>
      </c>
      <c r="S164" s="63">
        <f t="shared" si="15"/>
        <v>137.09</v>
      </c>
    </row>
    <row r="165" spans="1:19" s="77" customFormat="1" ht="12" x14ac:dyDescent="0.2">
      <c r="A165" s="74" t="s">
        <v>9205</v>
      </c>
      <c r="B165" s="68" t="s">
        <v>9206</v>
      </c>
      <c r="C165" s="88">
        <v>91</v>
      </c>
      <c r="D165" s="73" t="s">
        <v>9204</v>
      </c>
      <c r="E165" s="68" t="s">
        <v>19</v>
      </c>
      <c r="F165" s="74">
        <v>43597</v>
      </c>
      <c r="G165" s="174">
        <v>75</v>
      </c>
      <c r="H165" s="115"/>
      <c r="I165" s="115"/>
      <c r="J165" s="115"/>
      <c r="K165" s="115"/>
      <c r="L165" s="115"/>
      <c r="M165" s="115"/>
      <c r="N165" s="115"/>
      <c r="O165" s="115"/>
      <c r="P165" s="115"/>
      <c r="Q165" s="63">
        <f t="shared" si="13"/>
        <v>75</v>
      </c>
      <c r="R165" s="63">
        <f t="shared" si="14"/>
        <v>0</v>
      </c>
      <c r="S165" s="63">
        <f t="shared" si="15"/>
        <v>75</v>
      </c>
    </row>
    <row r="166" spans="1:19" s="77" customFormat="1" ht="12" x14ac:dyDescent="0.2">
      <c r="A166" s="68" t="s">
        <v>9209</v>
      </c>
      <c r="B166" s="68" t="s">
        <v>5195</v>
      </c>
      <c r="C166" s="88">
        <v>92</v>
      </c>
      <c r="D166" s="73" t="s">
        <v>9207</v>
      </c>
      <c r="E166" s="68" t="s">
        <v>19</v>
      </c>
      <c r="F166" s="74">
        <v>43597</v>
      </c>
      <c r="G166" s="174"/>
      <c r="H166" s="115"/>
      <c r="I166" s="115"/>
      <c r="J166" s="115"/>
      <c r="K166" s="115"/>
      <c r="L166" s="115"/>
      <c r="M166" s="115"/>
      <c r="N166" s="115"/>
      <c r="O166" s="115"/>
      <c r="P166" s="115"/>
      <c r="Q166" s="63">
        <f t="shared" si="13"/>
        <v>0</v>
      </c>
      <c r="R166" s="63">
        <f t="shared" si="14"/>
        <v>0</v>
      </c>
      <c r="S166" s="63">
        <f t="shared" si="15"/>
        <v>0</v>
      </c>
    </row>
    <row r="167" spans="1:19" s="77" customFormat="1" ht="12" x14ac:dyDescent="0.2">
      <c r="A167" s="68" t="s">
        <v>9210</v>
      </c>
      <c r="B167" s="68" t="s">
        <v>9211</v>
      </c>
      <c r="C167" s="88">
        <v>93</v>
      </c>
      <c r="D167" s="73" t="s">
        <v>9208</v>
      </c>
      <c r="E167" s="68" t="s">
        <v>19</v>
      </c>
      <c r="F167" s="74">
        <v>43599</v>
      </c>
      <c r="G167" s="174"/>
      <c r="H167" s="115"/>
      <c r="I167" s="115"/>
      <c r="J167" s="115"/>
      <c r="K167" s="115"/>
      <c r="L167" s="115"/>
      <c r="M167" s="115"/>
      <c r="N167" s="115"/>
      <c r="O167" s="115"/>
      <c r="P167" s="115"/>
      <c r="Q167" s="63">
        <f t="shared" si="13"/>
        <v>0</v>
      </c>
      <c r="R167" s="63">
        <f t="shared" si="14"/>
        <v>0</v>
      </c>
      <c r="S167" s="63">
        <f t="shared" si="15"/>
        <v>0</v>
      </c>
    </row>
    <row r="168" spans="1:19" s="77" customFormat="1" ht="12" x14ac:dyDescent="0.2">
      <c r="A168" s="74" t="s">
        <v>9212</v>
      </c>
      <c r="B168" s="68" t="s">
        <v>9213</v>
      </c>
      <c r="C168" s="88">
        <v>94</v>
      </c>
      <c r="D168" s="73" t="s">
        <v>9218</v>
      </c>
      <c r="E168" s="68" t="s">
        <v>9223</v>
      </c>
      <c r="F168" s="74">
        <v>43601</v>
      </c>
      <c r="G168" s="174">
        <f>489.67+500+107+300</f>
        <v>1396.67</v>
      </c>
      <c r="H168" s="115"/>
      <c r="I168" s="115"/>
      <c r="J168" s="115"/>
      <c r="K168" s="115"/>
      <c r="L168" s="115"/>
      <c r="M168" s="115"/>
      <c r="N168" s="115"/>
      <c r="O168" s="115"/>
      <c r="P168" s="115"/>
      <c r="Q168" s="63">
        <f t="shared" si="13"/>
        <v>1396.67</v>
      </c>
      <c r="R168" s="63">
        <f t="shared" si="14"/>
        <v>0</v>
      </c>
      <c r="S168" s="63">
        <f t="shared" si="15"/>
        <v>1396.67</v>
      </c>
    </row>
    <row r="169" spans="1:19" s="77" customFormat="1" ht="12" x14ac:dyDescent="0.2">
      <c r="A169" s="74" t="s">
        <v>9214</v>
      </c>
      <c r="B169" s="68" t="s">
        <v>9215</v>
      </c>
      <c r="C169" s="88">
        <v>95</v>
      </c>
      <c r="D169" s="73" t="s">
        <v>9219</v>
      </c>
      <c r="E169" s="68" t="s">
        <v>7632</v>
      </c>
      <c r="F169" s="74">
        <v>43603</v>
      </c>
      <c r="G169" s="174">
        <v>115.46</v>
      </c>
      <c r="H169" s="115"/>
      <c r="I169" s="115"/>
      <c r="J169" s="115"/>
      <c r="K169" s="115"/>
      <c r="L169" s="115"/>
      <c r="M169" s="115"/>
      <c r="N169" s="115"/>
      <c r="O169" s="115"/>
      <c r="P169" s="115"/>
      <c r="Q169" s="63">
        <f t="shared" si="13"/>
        <v>115.46</v>
      </c>
      <c r="R169" s="63">
        <f t="shared" si="14"/>
        <v>0</v>
      </c>
      <c r="S169" s="63">
        <f t="shared" si="15"/>
        <v>115.46</v>
      </c>
    </row>
    <row r="170" spans="1:19" s="77" customFormat="1" ht="12" x14ac:dyDescent="0.2">
      <c r="A170" s="74" t="s">
        <v>9060</v>
      </c>
      <c r="B170" s="68" t="s">
        <v>9216</v>
      </c>
      <c r="C170" s="88">
        <v>96</v>
      </c>
      <c r="D170" s="73" t="s">
        <v>9220</v>
      </c>
      <c r="E170" s="68" t="s">
        <v>7632</v>
      </c>
      <c r="F170" s="74">
        <v>43603</v>
      </c>
      <c r="G170" s="174"/>
      <c r="H170" s="115"/>
      <c r="I170" s="115"/>
      <c r="J170" s="115"/>
      <c r="K170" s="115"/>
      <c r="L170" s="115"/>
      <c r="M170" s="115"/>
      <c r="N170" s="115"/>
      <c r="O170" s="115"/>
      <c r="P170" s="115"/>
      <c r="Q170" s="63">
        <f t="shared" si="13"/>
        <v>0</v>
      </c>
      <c r="R170" s="63">
        <f t="shared" si="14"/>
        <v>0</v>
      </c>
      <c r="S170" s="63">
        <f t="shared" si="15"/>
        <v>0</v>
      </c>
    </row>
    <row r="171" spans="1:19" s="77" customFormat="1" ht="12" x14ac:dyDescent="0.2">
      <c r="A171" s="74" t="s">
        <v>9217</v>
      </c>
      <c r="B171" s="68" t="s">
        <v>5002</v>
      </c>
      <c r="C171" s="88">
        <v>97</v>
      </c>
      <c r="D171" s="73" t="s">
        <v>9221</v>
      </c>
      <c r="E171" s="68" t="s">
        <v>19</v>
      </c>
      <c r="F171" s="74">
        <v>43603</v>
      </c>
      <c r="G171" s="174"/>
      <c r="H171" s="115"/>
      <c r="I171" s="115"/>
      <c r="J171" s="115"/>
      <c r="K171" s="115"/>
      <c r="L171" s="115"/>
      <c r="M171" s="115"/>
      <c r="N171" s="115"/>
      <c r="O171" s="115"/>
      <c r="P171" s="115"/>
      <c r="Q171" s="63">
        <f t="shared" si="13"/>
        <v>0</v>
      </c>
      <c r="R171" s="63">
        <f t="shared" si="14"/>
        <v>0</v>
      </c>
      <c r="S171" s="63">
        <f t="shared" si="15"/>
        <v>0</v>
      </c>
    </row>
    <row r="172" spans="1:19" s="77" customFormat="1" ht="12" x14ac:dyDescent="0.2">
      <c r="A172" s="74" t="s">
        <v>9217</v>
      </c>
      <c r="B172" s="68" t="s">
        <v>5002</v>
      </c>
      <c r="C172" s="88">
        <v>97</v>
      </c>
      <c r="D172" s="73" t="s">
        <v>9222</v>
      </c>
      <c r="E172" s="68" t="s">
        <v>19</v>
      </c>
      <c r="F172" s="74">
        <v>43603</v>
      </c>
      <c r="G172" s="174"/>
      <c r="H172" s="115"/>
      <c r="I172" s="115"/>
      <c r="J172" s="115"/>
      <c r="K172" s="115"/>
      <c r="L172" s="115"/>
      <c r="M172" s="115"/>
      <c r="N172" s="115"/>
      <c r="O172" s="115"/>
      <c r="P172" s="115"/>
      <c r="Q172" s="63">
        <f t="shared" si="13"/>
        <v>0</v>
      </c>
      <c r="R172" s="63">
        <f t="shared" si="14"/>
        <v>0</v>
      </c>
      <c r="S172" s="63">
        <f t="shared" si="15"/>
        <v>0</v>
      </c>
    </row>
    <row r="173" spans="1:19" s="77" customFormat="1" ht="12" x14ac:dyDescent="0.2">
      <c r="A173" s="74" t="s">
        <v>9233</v>
      </c>
      <c r="B173" s="68" t="s">
        <v>9234</v>
      </c>
      <c r="C173" s="88">
        <v>98</v>
      </c>
      <c r="D173" s="73" t="s">
        <v>9225</v>
      </c>
      <c r="E173" s="68" t="s">
        <v>9224</v>
      </c>
      <c r="F173" s="74">
        <v>43606</v>
      </c>
      <c r="G173" s="174">
        <v>232.86</v>
      </c>
      <c r="H173" s="115"/>
      <c r="I173" s="115"/>
      <c r="J173" s="115"/>
      <c r="K173" s="115"/>
      <c r="L173" s="115"/>
      <c r="M173" s="115"/>
      <c r="N173" s="115"/>
      <c r="O173" s="115"/>
      <c r="P173" s="115"/>
      <c r="Q173" s="63">
        <f t="shared" si="13"/>
        <v>232.86</v>
      </c>
      <c r="R173" s="63">
        <f t="shared" si="14"/>
        <v>0</v>
      </c>
      <c r="S173" s="63">
        <f t="shared" si="15"/>
        <v>232.86</v>
      </c>
    </row>
    <row r="174" spans="1:19" s="77" customFormat="1" ht="12" x14ac:dyDescent="0.2">
      <c r="A174" s="74" t="s">
        <v>9235</v>
      </c>
      <c r="B174" s="68" t="s">
        <v>9236</v>
      </c>
      <c r="C174" s="88">
        <v>99</v>
      </c>
      <c r="D174" s="73" t="s">
        <v>9226</v>
      </c>
      <c r="E174" s="68" t="s">
        <v>19</v>
      </c>
      <c r="F174" s="74">
        <v>43607</v>
      </c>
      <c r="G174" s="174"/>
      <c r="H174" s="115"/>
      <c r="I174" s="115"/>
      <c r="J174" s="115"/>
      <c r="K174" s="115"/>
      <c r="L174" s="115"/>
      <c r="M174" s="115"/>
      <c r="N174" s="115"/>
      <c r="O174" s="115"/>
      <c r="P174" s="115"/>
      <c r="Q174" s="63">
        <f t="shared" si="13"/>
        <v>0</v>
      </c>
      <c r="R174" s="63">
        <f t="shared" si="14"/>
        <v>0</v>
      </c>
      <c r="S174" s="63">
        <f t="shared" si="15"/>
        <v>0</v>
      </c>
    </row>
    <row r="175" spans="1:19" s="77" customFormat="1" ht="12" x14ac:dyDescent="0.2">
      <c r="A175" s="74" t="s">
        <v>9237</v>
      </c>
      <c r="B175" s="68" t="s">
        <v>9238</v>
      </c>
      <c r="C175" s="88">
        <v>100</v>
      </c>
      <c r="D175" s="73" t="s">
        <v>9227</v>
      </c>
      <c r="E175" s="68" t="s">
        <v>19</v>
      </c>
      <c r="F175" s="74">
        <v>43607</v>
      </c>
      <c r="G175" s="174"/>
      <c r="H175" s="115"/>
      <c r="I175" s="115"/>
      <c r="J175" s="115"/>
      <c r="K175" s="115"/>
      <c r="L175" s="115"/>
      <c r="M175" s="115"/>
      <c r="N175" s="115"/>
      <c r="O175" s="115"/>
      <c r="P175" s="115"/>
      <c r="Q175" s="63">
        <f t="shared" si="13"/>
        <v>0</v>
      </c>
      <c r="R175" s="63">
        <f t="shared" si="14"/>
        <v>0</v>
      </c>
      <c r="S175" s="63">
        <f t="shared" si="15"/>
        <v>0</v>
      </c>
    </row>
    <row r="176" spans="1:19" s="77" customFormat="1" ht="12" x14ac:dyDescent="0.2">
      <c r="A176" s="74" t="s">
        <v>9239</v>
      </c>
      <c r="B176" s="68" t="s">
        <v>9240</v>
      </c>
      <c r="C176" s="88">
        <v>101</v>
      </c>
      <c r="D176" s="73" t="s">
        <v>9228</v>
      </c>
      <c r="E176" s="68" t="s">
        <v>19</v>
      </c>
      <c r="F176" s="74">
        <v>43611</v>
      </c>
      <c r="G176" s="174"/>
      <c r="H176" s="115"/>
      <c r="I176" s="115">
        <v>930</v>
      </c>
      <c r="J176" s="115"/>
      <c r="K176" s="115"/>
      <c r="L176" s="115"/>
      <c r="M176" s="115"/>
      <c r="N176" s="115"/>
      <c r="O176" s="115"/>
      <c r="P176" s="115"/>
      <c r="Q176" s="63">
        <f t="shared" si="13"/>
        <v>930</v>
      </c>
      <c r="R176" s="63">
        <f t="shared" si="14"/>
        <v>0</v>
      </c>
      <c r="S176" s="63">
        <f t="shared" si="15"/>
        <v>930</v>
      </c>
    </row>
    <row r="177" spans="1:19" s="77" customFormat="1" ht="12" x14ac:dyDescent="0.2">
      <c r="A177" s="74" t="s">
        <v>9241</v>
      </c>
      <c r="B177" s="68" t="s">
        <v>9242</v>
      </c>
      <c r="C177" s="88">
        <v>102</v>
      </c>
      <c r="D177" s="73" t="s">
        <v>9229</v>
      </c>
      <c r="E177" s="68" t="s">
        <v>19</v>
      </c>
      <c r="F177" s="74">
        <v>43611</v>
      </c>
      <c r="G177" s="174"/>
      <c r="H177" s="115"/>
      <c r="I177" s="115"/>
      <c r="J177" s="115"/>
      <c r="K177" s="115"/>
      <c r="L177" s="115"/>
      <c r="M177" s="115"/>
      <c r="N177" s="115"/>
      <c r="O177" s="115"/>
      <c r="P177" s="115"/>
      <c r="Q177" s="63">
        <f t="shared" si="13"/>
        <v>0</v>
      </c>
      <c r="R177" s="63">
        <f t="shared" si="14"/>
        <v>0</v>
      </c>
      <c r="S177" s="63">
        <f t="shared" si="15"/>
        <v>0</v>
      </c>
    </row>
    <row r="178" spans="1:19" s="77" customFormat="1" ht="12" x14ac:dyDescent="0.2">
      <c r="A178" s="74" t="s">
        <v>9243</v>
      </c>
      <c r="B178" s="68" t="s">
        <v>9244</v>
      </c>
      <c r="C178" s="88">
        <v>103</v>
      </c>
      <c r="D178" s="73" t="s">
        <v>9230</v>
      </c>
      <c r="E178" s="68" t="s">
        <v>19</v>
      </c>
      <c r="F178" s="74">
        <v>43611</v>
      </c>
      <c r="G178" s="174">
        <v>113.8</v>
      </c>
      <c r="H178" s="115"/>
      <c r="I178" s="115"/>
      <c r="J178" s="115"/>
      <c r="K178" s="115"/>
      <c r="L178" s="115"/>
      <c r="M178" s="115"/>
      <c r="N178" s="115"/>
      <c r="O178" s="115"/>
      <c r="P178" s="115"/>
      <c r="Q178" s="63">
        <f t="shared" si="13"/>
        <v>113.8</v>
      </c>
      <c r="R178" s="63">
        <f t="shared" si="14"/>
        <v>0</v>
      </c>
      <c r="S178" s="63">
        <f t="shared" si="15"/>
        <v>113.8</v>
      </c>
    </row>
    <row r="179" spans="1:19" s="77" customFormat="1" ht="12" x14ac:dyDescent="0.2">
      <c r="A179" s="74" t="s">
        <v>9245</v>
      </c>
      <c r="B179" s="68" t="s">
        <v>9246</v>
      </c>
      <c r="C179" s="88">
        <v>104</v>
      </c>
      <c r="D179" s="73" t="s">
        <v>9231</v>
      </c>
      <c r="E179" s="68" t="s">
        <v>19</v>
      </c>
      <c r="F179" s="74">
        <v>43614</v>
      </c>
      <c r="G179" s="174">
        <v>249.4</v>
      </c>
      <c r="H179" s="115"/>
      <c r="I179" s="115"/>
      <c r="J179" s="115"/>
      <c r="K179" s="115"/>
      <c r="L179" s="115"/>
      <c r="M179" s="115"/>
      <c r="N179" s="115"/>
      <c r="O179" s="115"/>
      <c r="P179" s="115"/>
      <c r="Q179" s="63">
        <f t="shared" si="13"/>
        <v>249.4</v>
      </c>
      <c r="R179" s="63">
        <f t="shared" si="14"/>
        <v>0</v>
      </c>
      <c r="S179" s="63">
        <f t="shared" si="15"/>
        <v>249.4</v>
      </c>
    </row>
    <row r="180" spans="1:19" s="77" customFormat="1" ht="12" x14ac:dyDescent="0.2">
      <c r="A180" s="74" t="s">
        <v>9247</v>
      </c>
      <c r="B180" s="68" t="s">
        <v>9248</v>
      </c>
      <c r="C180" s="88">
        <v>105</v>
      </c>
      <c r="D180" s="73" t="s">
        <v>9232</v>
      </c>
      <c r="E180" s="68" t="s">
        <v>19</v>
      </c>
      <c r="F180" s="74">
        <v>43614</v>
      </c>
      <c r="G180" s="95"/>
      <c r="H180" s="63"/>
      <c r="I180" s="63"/>
      <c r="J180" s="63"/>
      <c r="K180" s="63"/>
      <c r="L180" s="63"/>
      <c r="M180" s="63"/>
      <c r="N180" s="63"/>
      <c r="O180" s="63"/>
      <c r="P180" s="63"/>
      <c r="Q180" s="63">
        <f t="shared" si="13"/>
        <v>0</v>
      </c>
      <c r="R180" s="63">
        <f t="shared" si="14"/>
        <v>0</v>
      </c>
      <c r="S180" s="63">
        <f t="shared" si="15"/>
        <v>0</v>
      </c>
    </row>
    <row r="181" spans="1:19" s="77" customFormat="1" ht="12" x14ac:dyDescent="0.2">
      <c r="A181" s="74" t="s">
        <v>9260</v>
      </c>
      <c r="B181" s="68" t="s">
        <v>9261</v>
      </c>
      <c r="C181" s="76">
        <v>106</v>
      </c>
      <c r="D181" s="72" t="s">
        <v>9249</v>
      </c>
      <c r="E181" s="68" t="s">
        <v>19</v>
      </c>
      <c r="F181" s="74">
        <v>43614</v>
      </c>
      <c r="G181" s="95"/>
      <c r="H181" s="63"/>
      <c r="I181" s="63"/>
      <c r="J181" s="63"/>
      <c r="K181" s="63"/>
      <c r="L181" s="63"/>
      <c r="M181" s="63"/>
      <c r="N181" s="63"/>
      <c r="O181" s="63"/>
      <c r="P181" s="63"/>
      <c r="Q181" s="63">
        <f t="shared" si="13"/>
        <v>0</v>
      </c>
      <c r="R181" s="63">
        <f t="shared" si="14"/>
        <v>0</v>
      </c>
      <c r="S181" s="63">
        <f t="shared" si="15"/>
        <v>0</v>
      </c>
    </row>
    <row r="182" spans="1:19" s="77" customFormat="1" ht="12" x14ac:dyDescent="0.2">
      <c r="A182" s="74" t="s">
        <v>9262</v>
      </c>
      <c r="B182" s="68" t="s">
        <v>9263</v>
      </c>
      <c r="C182" s="76">
        <v>107</v>
      </c>
      <c r="D182" s="72" t="s">
        <v>9250</v>
      </c>
      <c r="E182" s="68" t="s">
        <v>19</v>
      </c>
      <c r="F182" s="74">
        <v>43618</v>
      </c>
      <c r="G182" s="95"/>
      <c r="H182" s="63"/>
      <c r="I182" s="63"/>
      <c r="J182" s="63"/>
      <c r="K182" s="63"/>
      <c r="L182" s="63"/>
      <c r="M182" s="63"/>
      <c r="N182" s="63"/>
      <c r="O182" s="63"/>
      <c r="P182" s="63"/>
      <c r="Q182" s="63">
        <f t="shared" si="13"/>
        <v>0</v>
      </c>
      <c r="R182" s="63">
        <f t="shared" si="14"/>
        <v>0</v>
      </c>
      <c r="S182" s="63">
        <f t="shared" si="15"/>
        <v>0</v>
      </c>
    </row>
    <row r="183" spans="1:19" s="77" customFormat="1" ht="12" x14ac:dyDescent="0.2">
      <c r="A183" s="74" t="s">
        <v>9262</v>
      </c>
      <c r="B183" s="68" t="s">
        <v>9263</v>
      </c>
      <c r="C183" s="76">
        <v>107</v>
      </c>
      <c r="D183" s="72" t="s">
        <v>9251</v>
      </c>
      <c r="E183" s="68" t="s">
        <v>19</v>
      </c>
      <c r="F183" s="74">
        <v>43618</v>
      </c>
      <c r="G183" s="95"/>
      <c r="H183" s="63"/>
      <c r="I183" s="63"/>
      <c r="J183" s="63"/>
      <c r="K183" s="63"/>
      <c r="L183" s="63"/>
      <c r="M183" s="63"/>
      <c r="N183" s="63"/>
      <c r="O183" s="63"/>
      <c r="P183" s="63"/>
      <c r="Q183" s="63">
        <f t="shared" si="13"/>
        <v>0</v>
      </c>
      <c r="R183" s="63">
        <f t="shared" si="14"/>
        <v>0</v>
      </c>
      <c r="S183" s="63">
        <f t="shared" si="15"/>
        <v>0</v>
      </c>
    </row>
    <row r="184" spans="1:19" s="77" customFormat="1" ht="12" x14ac:dyDescent="0.2">
      <c r="A184" s="74" t="s">
        <v>9264</v>
      </c>
      <c r="B184" s="68" t="s">
        <v>9265</v>
      </c>
      <c r="C184" s="76">
        <v>108</v>
      </c>
      <c r="D184" s="72" t="s">
        <v>9252</v>
      </c>
      <c r="E184" s="68" t="s">
        <v>19</v>
      </c>
      <c r="F184" s="74">
        <v>43618</v>
      </c>
      <c r="G184" s="95"/>
      <c r="H184" s="63"/>
      <c r="I184" s="63"/>
      <c r="J184" s="63"/>
      <c r="K184" s="63"/>
      <c r="L184" s="63"/>
      <c r="M184" s="63"/>
      <c r="N184" s="63"/>
      <c r="O184" s="63"/>
      <c r="P184" s="63"/>
      <c r="Q184" s="63">
        <f t="shared" si="13"/>
        <v>0</v>
      </c>
      <c r="R184" s="63">
        <f t="shared" si="14"/>
        <v>0</v>
      </c>
      <c r="S184" s="63">
        <f t="shared" si="15"/>
        <v>0</v>
      </c>
    </row>
    <row r="185" spans="1:19" s="77" customFormat="1" ht="12" x14ac:dyDescent="0.2">
      <c r="A185" s="74" t="s">
        <v>9264</v>
      </c>
      <c r="B185" s="68" t="s">
        <v>9265</v>
      </c>
      <c r="C185" s="76">
        <v>108</v>
      </c>
      <c r="D185" s="72" t="s">
        <v>9253</v>
      </c>
      <c r="E185" s="68" t="s">
        <v>19</v>
      </c>
      <c r="F185" s="74">
        <v>43618</v>
      </c>
      <c r="G185" s="95"/>
      <c r="H185" s="63"/>
      <c r="I185" s="63"/>
      <c r="J185" s="63"/>
      <c r="K185" s="63"/>
      <c r="L185" s="63"/>
      <c r="M185" s="63"/>
      <c r="N185" s="63"/>
      <c r="O185" s="63"/>
      <c r="P185" s="63"/>
      <c r="Q185" s="63">
        <f t="shared" si="13"/>
        <v>0</v>
      </c>
      <c r="R185" s="63">
        <f t="shared" si="14"/>
        <v>0</v>
      </c>
      <c r="S185" s="63">
        <f t="shared" si="15"/>
        <v>0</v>
      </c>
    </row>
    <row r="186" spans="1:19" s="77" customFormat="1" ht="12" x14ac:dyDescent="0.2">
      <c r="A186" s="74" t="s">
        <v>9266</v>
      </c>
      <c r="B186" s="68" t="s">
        <v>9267</v>
      </c>
      <c r="C186" s="76">
        <v>109</v>
      </c>
      <c r="D186" s="72" t="s">
        <v>9254</v>
      </c>
      <c r="E186" s="68" t="s">
        <v>19</v>
      </c>
      <c r="F186" s="74">
        <v>43618</v>
      </c>
      <c r="G186" s="95">
        <f>268.9+635.1</f>
        <v>904</v>
      </c>
      <c r="H186" s="63"/>
      <c r="I186" s="63">
        <v>310</v>
      </c>
      <c r="J186" s="63"/>
      <c r="K186" s="63"/>
      <c r="L186" s="63"/>
      <c r="M186" s="63"/>
      <c r="N186" s="63"/>
      <c r="O186" s="63"/>
      <c r="P186" s="63"/>
      <c r="Q186" s="63">
        <f t="shared" si="13"/>
        <v>1214</v>
      </c>
      <c r="R186" s="63">
        <f t="shared" si="14"/>
        <v>0</v>
      </c>
      <c r="S186" s="63">
        <f t="shared" si="15"/>
        <v>1214</v>
      </c>
    </row>
    <row r="187" spans="1:19" s="77" customFormat="1" ht="12" x14ac:dyDescent="0.2">
      <c r="A187" s="74" t="s">
        <v>9268</v>
      </c>
      <c r="B187" s="68" t="s">
        <v>9269</v>
      </c>
      <c r="C187" s="76">
        <v>110</v>
      </c>
      <c r="D187" s="72" t="s">
        <v>9255</v>
      </c>
      <c r="E187" s="68" t="s">
        <v>19</v>
      </c>
      <c r="F187" s="74">
        <v>43618</v>
      </c>
      <c r="G187" s="95"/>
      <c r="H187" s="63"/>
      <c r="I187" s="63"/>
      <c r="J187" s="63"/>
      <c r="K187" s="63"/>
      <c r="L187" s="63"/>
      <c r="M187" s="63"/>
      <c r="N187" s="63"/>
      <c r="O187" s="63"/>
      <c r="P187" s="63"/>
      <c r="Q187" s="63">
        <f t="shared" si="13"/>
        <v>0</v>
      </c>
      <c r="R187" s="63">
        <f t="shared" si="14"/>
        <v>0</v>
      </c>
      <c r="S187" s="63">
        <f t="shared" si="15"/>
        <v>0</v>
      </c>
    </row>
    <row r="188" spans="1:19" s="77" customFormat="1" ht="12" x14ac:dyDescent="0.2">
      <c r="A188" s="74" t="s">
        <v>9268</v>
      </c>
      <c r="B188" s="68" t="s">
        <v>9269</v>
      </c>
      <c r="C188" s="76">
        <v>110</v>
      </c>
      <c r="D188" s="72" t="s">
        <v>9256</v>
      </c>
      <c r="E188" s="68" t="s">
        <v>19</v>
      </c>
      <c r="F188" s="74">
        <v>43618</v>
      </c>
      <c r="G188" s="95"/>
      <c r="H188" s="63"/>
      <c r="I188" s="63"/>
      <c r="J188" s="63"/>
      <c r="K188" s="63"/>
      <c r="L188" s="63"/>
      <c r="M188" s="63"/>
      <c r="N188" s="63"/>
      <c r="O188" s="63"/>
      <c r="P188" s="63"/>
      <c r="Q188" s="63">
        <f t="shared" si="13"/>
        <v>0</v>
      </c>
      <c r="R188" s="63">
        <f t="shared" si="14"/>
        <v>0</v>
      </c>
      <c r="S188" s="63">
        <f t="shared" si="15"/>
        <v>0</v>
      </c>
    </row>
    <row r="189" spans="1:19" s="77" customFormat="1" ht="12" x14ac:dyDescent="0.2">
      <c r="A189" s="74" t="s">
        <v>9268</v>
      </c>
      <c r="B189" s="68" t="s">
        <v>9269</v>
      </c>
      <c r="C189" s="76">
        <v>110</v>
      </c>
      <c r="D189" s="72" t="s">
        <v>9257</v>
      </c>
      <c r="E189" s="68" t="s">
        <v>19</v>
      </c>
      <c r="F189" s="74">
        <v>43618</v>
      </c>
      <c r="G189" s="95"/>
      <c r="H189" s="63"/>
      <c r="I189" s="63"/>
      <c r="J189" s="63"/>
      <c r="K189" s="63"/>
      <c r="L189" s="63"/>
      <c r="M189" s="63"/>
      <c r="N189" s="63"/>
      <c r="O189" s="63"/>
      <c r="P189" s="63"/>
      <c r="Q189" s="63">
        <f t="shared" si="13"/>
        <v>0</v>
      </c>
      <c r="R189" s="63">
        <f t="shared" si="14"/>
        <v>0</v>
      </c>
      <c r="S189" s="63">
        <f t="shared" si="15"/>
        <v>0</v>
      </c>
    </row>
    <row r="190" spans="1:19" s="77" customFormat="1" ht="12" x14ac:dyDescent="0.2">
      <c r="A190" s="74" t="s">
        <v>9268</v>
      </c>
      <c r="B190" s="68" t="s">
        <v>9269</v>
      </c>
      <c r="C190" s="76">
        <v>110</v>
      </c>
      <c r="D190" s="72" t="s">
        <v>9258</v>
      </c>
      <c r="E190" s="68" t="s">
        <v>19</v>
      </c>
      <c r="F190" s="74">
        <v>43618</v>
      </c>
      <c r="G190" s="95"/>
      <c r="H190" s="63"/>
      <c r="I190" s="63"/>
      <c r="J190" s="63"/>
      <c r="K190" s="63"/>
      <c r="L190" s="63"/>
      <c r="M190" s="63"/>
      <c r="N190" s="63"/>
      <c r="O190" s="63"/>
      <c r="P190" s="63"/>
      <c r="Q190" s="63">
        <f t="shared" si="13"/>
        <v>0</v>
      </c>
      <c r="R190" s="63">
        <f t="shared" si="14"/>
        <v>0</v>
      </c>
      <c r="S190" s="63">
        <f t="shared" si="15"/>
        <v>0</v>
      </c>
    </row>
    <row r="191" spans="1:19" s="77" customFormat="1" ht="12" x14ac:dyDescent="0.2">
      <c r="A191" s="74" t="s">
        <v>9270</v>
      </c>
      <c r="B191" s="68" t="s">
        <v>9271</v>
      </c>
      <c r="C191" s="76">
        <v>111</v>
      </c>
      <c r="D191" s="72" t="s">
        <v>9259</v>
      </c>
      <c r="E191" s="68" t="s">
        <v>4064</v>
      </c>
      <c r="F191" s="74">
        <v>43619</v>
      </c>
      <c r="G191" s="95"/>
      <c r="H191" s="72"/>
      <c r="I191" s="72"/>
      <c r="J191" s="72"/>
      <c r="K191" s="72"/>
      <c r="L191" s="72"/>
      <c r="M191" s="72"/>
      <c r="N191" s="72"/>
      <c r="O191" s="72"/>
      <c r="P191" s="72"/>
      <c r="Q191" s="63">
        <f t="shared" si="13"/>
        <v>0</v>
      </c>
      <c r="R191" s="63">
        <f t="shared" si="14"/>
        <v>0</v>
      </c>
      <c r="S191" s="63">
        <f t="shared" si="15"/>
        <v>0</v>
      </c>
    </row>
    <row r="192" spans="1:19" s="77" customFormat="1" ht="12" x14ac:dyDescent="0.2">
      <c r="A192" s="74" t="s">
        <v>9289</v>
      </c>
      <c r="B192" s="68" t="s">
        <v>9292</v>
      </c>
      <c r="C192" s="76">
        <v>112</v>
      </c>
      <c r="D192" s="72" t="s">
        <v>9295</v>
      </c>
      <c r="E192" s="68" t="s">
        <v>19</v>
      </c>
      <c r="F192" s="74">
        <v>43619</v>
      </c>
      <c r="G192" s="95"/>
      <c r="H192" s="72"/>
      <c r="I192" s="72"/>
      <c r="J192" s="72"/>
      <c r="K192" s="72"/>
      <c r="L192" s="72"/>
      <c r="M192" s="72"/>
      <c r="N192" s="72"/>
      <c r="O192" s="72"/>
      <c r="P192" s="72"/>
      <c r="Q192" s="63">
        <f t="shared" ref="Q192:Q200" si="16">+G192+I192+K192+M192+O192</f>
        <v>0</v>
      </c>
      <c r="R192" s="63">
        <f t="shared" ref="R192:R200" si="17">+H192+J192+L192+N192+P192</f>
        <v>0</v>
      </c>
      <c r="S192" s="63">
        <f t="shared" ref="S192:S200" si="18">+Q192+R192</f>
        <v>0</v>
      </c>
    </row>
    <row r="193" spans="1:19" s="77" customFormat="1" ht="12" x14ac:dyDescent="0.2">
      <c r="A193" s="74" t="s">
        <v>9290</v>
      </c>
      <c r="B193" s="68" t="s">
        <v>9293</v>
      </c>
      <c r="C193" s="76">
        <v>113</v>
      </c>
      <c r="D193" s="72" t="s">
        <v>9334</v>
      </c>
      <c r="E193" s="68" t="s">
        <v>9304</v>
      </c>
      <c r="F193" s="74">
        <v>43620</v>
      </c>
      <c r="G193" s="95">
        <v>70.83</v>
      </c>
      <c r="H193" s="72"/>
      <c r="I193" s="72"/>
      <c r="J193" s="72"/>
      <c r="K193" s="72"/>
      <c r="L193" s="72"/>
      <c r="M193" s="72"/>
      <c r="N193" s="72"/>
      <c r="O193" s="72"/>
      <c r="P193" s="72"/>
      <c r="Q193" s="63">
        <f t="shared" si="16"/>
        <v>70.83</v>
      </c>
      <c r="R193" s="63">
        <f t="shared" si="17"/>
        <v>0</v>
      </c>
      <c r="S193" s="63">
        <f t="shared" si="18"/>
        <v>70.83</v>
      </c>
    </row>
    <row r="194" spans="1:19" s="77" customFormat="1" ht="12" x14ac:dyDescent="0.2">
      <c r="A194" s="74" t="s">
        <v>9290</v>
      </c>
      <c r="B194" s="68" t="s">
        <v>9293</v>
      </c>
      <c r="C194" s="76">
        <v>113</v>
      </c>
      <c r="D194" s="72" t="s">
        <v>9296</v>
      </c>
      <c r="E194" s="68" t="s">
        <v>9304</v>
      </c>
      <c r="F194" s="74">
        <v>43620</v>
      </c>
      <c r="G194" s="95">
        <v>137.35</v>
      </c>
      <c r="H194" s="72"/>
      <c r="I194" s="72"/>
      <c r="J194" s="72"/>
      <c r="K194" s="72"/>
      <c r="L194" s="72"/>
      <c r="M194" s="72"/>
      <c r="N194" s="72"/>
      <c r="O194" s="72"/>
      <c r="P194" s="72"/>
      <c r="Q194" s="63">
        <f t="shared" si="16"/>
        <v>137.35</v>
      </c>
      <c r="R194" s="63">
        <f t="shared" si="17"/>
        <v>0</v>
      </c>
      <c r="S194" s="63">
        <f t="shared" si="18"/>
        <v>137.35</v>
      </c>
    </row>
    <row r="195" spans="1:19" s="77" customFormat="1" ht="12" x14ac:dyDescent="0.2">
      <c r="A195" s="74" t="s">
        <v>9290</v>
      </c>
      <c r="B195" s="68" t="s">
        <v>9293</v>
      </c>
      <c r="C195" s="76">
        <v>113</v>
      </c>
      <c r="D195" s="72" t="s">
        <v>9297</v>
      </c>
      <c r="E195" s="68" t="s">
        <v>9304</v>
      </c>
      <c r="F195" s="74">
        <v>43620</v>
      </c>
      <c r="G195" s="95">
        <v>237.32</v>
      </c>
      <c r="H195" s="72"/>
      <c r="I195" s="72"/>
      <c r="J195" s="72"/>
      <c r="K195" s="72"/>
      <c r="L195" s="72"/>
      <c r="M195" s="72"/>
      <c r="N195" s="72"/>
      <c r="O195" s="72"/>
      <c r="P195" s="72"/>
      <c r="Q195" s="63">
        <f t="shared" si="16"/>
        <v>237.32</v>
      </c>
      <c r="R195" s="63">
        <f t="shared" si="17"/>
        <v>0</v>
      </c>
      <c r="S195" s="63">
        <f t="shared" si="18"/>
        <v>237.32</v>
      </c>
    </row>
    <row r="196" spans="1:19" s="77" customFormat="1" ht="12" x14ac:dyDescent="0.2">
      <c r="A196" s="74" t="s">
        <v>9290</v>
      </c>
      <c r="B196" s="68" t="s">
        <v>9293</v>
      </c>
      <c r="C196" s="76">
        <v>113</v>
      </c>
      <c r="D196" s="72" t="s">
        <v>9298</v>
      </c>
      <c r="E196" s="68" t="s">
        <v>9304</v>
      </c>
      <c r="F196" s="74">
        <v>43620</v>
      </c>
      <c r="G196" s="95">
        <v>132.96</v>
      </c>
      <c r="H196" s="72"/>
      <c r="I196" s="72"/>
      <c r="J196" s="72"/>
      <c r="K196" s="72"/>
      <c r="L196" s="72"/>
      <c r="M196" s="72"/>
      <c r="N196" s="72"/>
      <c r="O196" s="72"/>
      <c r="P196" s="72"/>
      <c r="Q196" s="63">
        <f t="shared" si="16"/>
        <v>132.96</v>
      </c>
      <c r="R196" s="63">
        <f t="shared" si="17"/>
        <v>0</v>
      </c>
      <c r="S196" s="63">
        <f t="shared" si="18"/>
        <v>132.96</v>
      </c>
    </row>
    <row r="197" spans="1:19" s="77" customFormat="1" ht="12" x14ac:dyDescent="0.2">
      <c r="A197" s="74" t="s">
        <v>9290</v>
      </c>
      <c r="B197" s="68" t="s">
        <v>9293</v>
      </c>
      <c r="C197" s="76">
        <v>113</v>
      </c>
      <c r="D197" s="72" t="s">
        <v>9299</v>
      </c>
      <c r="E197" s="68" t="s">
        <v>9304</v>
      </c>
      <c r="F197" s="74">
        <v>43620</v>
      </c>
      <c r="G197" s="95">
        <v>210.89</v>
      </c>
      <c r="H197" s="72"/>
      <c r="I197" s="72"/>
      <c r="J197" s="72"/>
      <c r="K197" s="72"/>
      <c r="L197" s="72"/>
      <c r="M197" s="72"/>
      <c r="N197" s="72"/>
      <c r="O197" s="72"/>
      <c r="P197" s="72"/>
      <c r="Q197" s="63">
        <f t="shared" si="16"/>
        <v>210.89</v>
      </c>
      <c r="R197" s="63">
        <f t="shared" si="17"/>
        <v>0</v>
      </c>
      <c r="S197" s="63">
        <f t="shared" si="18"/>
        <v>210.89</v>
      </c>
    </row>
    <row r="198" spans="1:19" s="77" customFormat="1" ht="12" x14ac:dyDescent="0.2">
      <c r="A198" s="74" t="s">
        <v>9290</v>
      </c>
      <c r="B198" s="68" t="s">
        <v>9293</v>
      </c>
      <c r="C198" s="76">
        <v>113</v>
      </c>
      <c r="D198" s="72" t="s">
        <v>9300</v>
      </c>
      <c r="E198" s="68" t="s">
        <v>9304</v>
      </c>
      <c r="F198" s="74">
        <v>43620</v>
      </c>
      <c r="G198" s="95">
        <v>228.54</v>
      </c>
      <c r="H198" s="72"/>
      <c r="I198" s="72"/>
      <c r="J198" s="72"/>
      <c r="K198" s="72"/>
      <c r="L198" s="72"/>
      <c r="M198" s="72"/>
      <c r="N198" s="72"/>
      <c r="O198" s="72"/>
      <c r="P198" s="72"/>
      <c r="Q198" s="63">
        <f t="shared" si="16"/>
        <v>228.54</v>
      </c>
      <c r="R198" s="63">
        <f t="shared" si="17"/>
        <v>0</v>
      </c>
      <c r="S198" s="63">
        <f t="shared" si="18"/>
        <v>228.54</v>
      </c>
    </row>
    <row r="199" spans="1:19" s="77" customFormat="1" ht="12" x14ac:dyDescent="0.2">
      <c r="A199" s="74" t="s">
        <v>9290</v>
      </c>
      <c r="B199" s="68" t="s">
        <v>9293</v>
      </c>
      <c r="C199" s="76">
        <v>113</v>
      </c>
      <c r="D199" s="72" t="s">
        <v>9301</v>
      </c>
      <c r="E199" s="68" t="s">
        <v>9304</v>
      </c>
      <c r="F199" s="74">
        <v>43620</v>
      </c>
      <c r="G199" s="95">
        <v>193.95</v>
      </c>
      <c r="H199" s="72"/>
      <c r="I199" s="72"/>
      <c r="J199" s="72"/>
      <c r="K199" s="72"/>
      <c r="L199" s="72"/>
      <c r="M199" s="72"/>
      <c r="N199" s="72"/>
      <c r="O199" s="72"/>
      <c r="P199" s="72"/>
      <c r="Q199" s="63">
        <f t="shared" si="16"/>
        <v>193.95</v>
      </c>
      <c r="R199" s="63">
        <f t="shared" si="17"/>
        <v>0</v>
      </c>
      <c r="S199" s="63">
        <f t="shared" si="18"/>
        <v>193.95</v>
      </c>
    </row>
    <row r="200" spans="1:19" s="77" customFormat="1" ht="12" x14ac:dyDescent="0.2">
      <c r="A200" s="74" t="s">
        <v>9290</v>
      </c>
      <c r="B200" s="68" t="s">
        <v>9293</v>
      </c>
      <c r="C200" s="76">
        <v>113</v>
      </c>
      <c r="D200" s="72" t="s">
        <v>9302</v>
      </c>
      <c r="E200" s="68" t="s">
        <v>9304</v>
      </c>
      <c r="F200" s="74">
        <v>43620</v>
      </c>
      <c r="G200" s="95">
        <v>70.89</v>
      </c>
      <c r="H200" s="72"/>
      <c r="I200" s="72"/>
      <c r="J200" s="72"/>
      <c r="K200" s="72"/>
      <c r="L200" s="72"/>
      <c r="M200" s="72"/>
      <c r="N200" s="72"/>
      <c r="O200" s="72"/>
      <c r="P200" s="72"/>
      <c r="Q200" s="63">
        <f t="shared" si="16"/>
        <v>70.89</v>
      </c>
      <c r="R200" s="63">
        <f t="shared" si="17"/>
        <v>0</v>
      </c>
      <c r="S200" s="63">
        <f t="shared" si="18"/>
        <v>70.89</v>
      </c>
    </row>
    <row r="201" spans="1:19" s="77" customFormat="1" ht="12" x14ac:dyDescent="0.2">
      <c r="A201" s="74" t="s">
        <v>9290</v>
      </c>
      <c r="B201" s="68" t="s">
        <v>9293</v>
      </c>
      <c r="C201" s="76">
        <v>113</v>
      </c>
      <c r="D201" s="72" t="s">
        <v>9335</v>
      </c>
      <c r="E201" s="68" t="s">
        <v>9304</v>
      </c>
      <c r="F201" s="74">
        <v>43620</v>
      </c>
      <c r="G201" s="95">
        <v>136.28</v>
      </c>
      <c r="H201" s="72"/>
      <c r="I201" s="72"/>
      <c r="J201" s="72"/>
      <c r="K201" s="72"/>
      <c r="L201" s="72"/>
      <c r="M201" s="72"/>
      <c r="N201" s="72"/>
      <c r="O201" s="72"/>
      <c r="P201" s="72"/>
      <c r="Q201" s="63">
        <f t="shared" ref="Q201:Q233" si="19">+G201+I201+K201+M201+O201</f>
        <v>136.28</v>
      </c>
      <c r="R201" s="63">
        <f t="shared" ref="R201:R233" si="20">+H201+J201+L201+N201+P201</f>
        <v>0</v>
      </c>
      <c r="S201" s="63">
        <f t="shared" ref="S201:S233" si="21">+Q201+R201</f>
        <v>136.28</v>
      </c>
    </row>
    <row r="202" spans="1:19" s="77" customFormat="1" ht="12" x14ac:dyDescent="0.2">
      <c r="A202" s="74" t="s">
        <v>9291</v>
      </c>
      <c r="B202" s="68" t="s">
        <v>9294</v>
      </c>
      <c r="C202" s="76">
        <v>114</v>
      </c>
      <c r="D202" s="72" t="s">
        <v>9303</v>
      </c>
      <c r="E202" s="68" t="s">
        <v>19</v>
      </c>
      <c r="F202" s="74">
        <v>43621</v>
      </c>
      <c r="G202" s="95"/>
      <c r="H202" s="72"/>
      <c r="I202" s="72"/>
      <c r="J202" s="72"/>
      <c r="K202" s="72"/>
      <c r="L202" s="72"/>
      <c r="M202" s="72"/>
      <c r="N202" s="72"/>
      <c r="O202" s="72"/>
      <c r="P202" s="72"/>
      <c r="Q202" s="63">
        <f t="shared" si="19"/>
        <v>0</v>
      </c>
      <c r="R202" s="63">
        <f t="shared" si="20"/>
        <v>0</v>
      </c>
      <c r="S202" s="63">
        <f t="shared" si="21"/>
        <v>0</v>
      </c>
    </row>
    <row r="203" spans="1:19" s="77" customFormat="1" ht="12" x14ac:dyDescent="0.2">
      <c r="A203" s="74" t="s">
        <v>9305</v>
      </c>
      <c r="B203" s="68" t="s">
        <v>9311</v>
      </c>
      <c r="C203" s="76">
        <v>115</v>
      </c>
      <c r="D203" s="72" t="s">
        <v>9317</v>
      </c>
      <c r="E203" s="68" t="s">
        <v>19</v>
      </c>
      <c r="F203" s="74">
        <v>43621</v>
      </c>
      <c r="G203" s="95"/>
      <c r="H203" s="72"/>
      <c r="I203" s="72"/>
      <c r="J203" s="72"/>
      <c r="K203" s="72"/>
      <c r="L203" s="72"/>
      <c r="M203" s="72"/>
      <c r="N203" s="72"/>
      <c r="O203" s="72"/>
      <c r="P203" s="72"/>
      <c r="Q203" s="63">
        <f t="shared" si="19"/>
        <v>0</v>
      </c>
      <c r="R203" s="63">
        <f t="shared" si="20"/>
        <v>0</v>
      </c>
      <c r="S203" s="63">
        <f t="shared" si="21"/>
        <v>0</v>
      </c>
    </row>
    <row r="204" spans="1:19" s="77" customFormat="1" ht="12" x14ac:dyDescent="0.2">
      <c r="A204" s="74" t="s">
        <v>9306</v>
      </c>
      <c r="B204" s="68" t="s">
        <v>9312</v>
      </c>
      <c r="C204" s="76">
        <v>116</v>
      </c>
      <c r="D204" s="72" t="s">
        <v>9318</v>
      </c>
      <c r="E204" s="68" t="s">
        <v>19</v>
      </c>
      <c r="F204" s="74">
        <v>43622</v>
      </c>
      <c r="G204" s="95"/>
      <c r="H204" s="72"/>
      <c r="I204" s="72"/>
      <c r="J204" s="72"/>
      <c r="K204" s="72"/>
      <c r="L204" s="72"/>
      <c r="M204" s="72"/>
      <c r="N204" s="72"/>
      <c r="O204" s="72"/>
      <c r="P204" s="72"/>
      <c r="Q204" s="63">
        <f t="shared" si="19"/>
        <v>0</v>
      </c>
      <c r="R204" s="63">
        <f t="shared" si="20"/>
        <v>0</v>
      </c>
      <c r="S204" s="63">
        <f t="shared" si="21"/>
        <v>0</v>
      </c>
    </row>
    <row r="205" spans="1:19" s="77" customFormat="1" ht="12" x14ac:dyDescent="0.2">
      <c r="A205" s="74" t="s">
        <v>9307</v>
      </c>
      <c r="B205" s="68" t="s">
        <v>9313</v>
      </c>
      <c r="C205" s="76">
        <v>117</v>
      </c>
      <c r="D205" s="72" t="s">
        <v>9319</v>
      </c>
      <c r="E205" s="68" t="s">
        <v>19</v>
      </c>
      <c r="F205" s="74">
        <v>43624</v>
      </c>
      <c r="G205" s="95"/>
      <c r="H205" s="72"/>
      <c r="I205" s="72"/>
      <c r="J205" s="72"/>
      <c r="K205" s="72"/>
      <c r="L205" s="72"/>
      <c r="M205" s="72"/>
      <c r="N205" s="72"/>
      <c r="O205" s="72"/>
      <c r="P205" s="72"/>
      <c r="Q205" s="63">
        <f t="shared" si="19"/>
        <v>0</v>
      </c>
      <c r="R205" s="63">
        <f t="shared" si="20"/>
        <v>0</v>
      </c>
      <c r="S205" s="63">
        <f t="shared" si="21"/>
        <v>0</v>
      </c>
    </row>
    <row r="206" spans="1:19" s="77" customFormat="1" ht="12" x14ac:dyDescent="0.2">
      <c r="A206" s="74" t="s">
        <v>9308</v>
      </c>
      <c r="B206" s="68" t="s">
        <v>9314</v>
      </c>
      <c r="C206" s="76">
        <v>118</v>
      </c>
      <c r="D206" s="72" t="s">
        <v>9320</v>
      </c>
      <c r="E206" s="68" t="s">
        <v>19</v>
      </c>
      <c r="F206" s="74">
        <v>43624</v>
      </c>
      <c r="G206" s="95"/>
      <c r="H206" s="72"/>
      <c r="I206" s="72">
        <v>434</v>
      </c>
      <c r="J206" s="72"/>
      <c r="K206" s="72"/>
      <c r="L206" s="72"/>
      <c r="M206" s="72"/>
      <c r="N206" s="72"/>
      <c r="O206" s="72"/>
      <c r="P206" s="72"/>
      <c r="Q206" s="63">
        <f t="shared" si="19"/>
        <v>434</v>
      </c>
      <c r="R206" s="63">
        <f t="shared" si="20"/>
        <v>0</v>
      </c>
      <c r="S206" s="63">
        <f t="shared" si="21"/>
        <v>434</v>
      </c>
    </row>
    <row r="207" spans="1:19" s="77" customFormat="1" ht="12" x14ac:dyDescent="0.2">
      <c r="A207" s="74" t="s">
        <v>9309</v>
      </c>
      <c r="B207" s="68" t="s">
        <v>9315</v>
      </c>
      <c r="C207" s="76">
        <v>119</v>
      </c>
      <c r="D207" s="72" t="s">
        <v>9321</v>
      </c>
      <c r="E207" s="68" t="s">
        <v>19</v>
      </c>
      <c r="F207" s="74">
        <v>43625</v>
      </c>
      <c r="G207" s="95"/>
      <c r="H207" s="72"/>
      <c r="I207" s="72"/>
      <c r="J207" s="72"/>
      <c r="K207" s="72"/>
      <c r="L207" s="72"/>
      <c r="M207" s="72"/>
      <c r="N207" s="72"/>
      <c r="O207" s="72"/>
      <c r="P207" s="72"/>
      <c r="Q207" s="63">
        <f t="shared" si="19"/>
        <v>0</v>
      </c>
      <c r="R207" s="63">
        <f t="shared" si="20"/>
        <v>0</v>
      </c>
      <c r="S207" s="63">
        <f t="shared" si="21"/>
        <v>0</v>
      </c>
    </row>
    <row r="208" spans="1:19" s="77" customFormat="1" ht="12" x14ac:dyDescent="0.2">
      <c r="A208" s="74" t="s">
        <v>9309</v>
      </c>
      <c r="B208" s="68" t="s">
        <v>9315</v>
      </c>
      <c r="C208" s="76">
        <v>119</v>
      </c>
      <c r="D208" s="72" t="s">
        <v>9322</v>
      </c>
      <c r="E208" s="68" t="s">
        <v>19</v>
      </c>
      <c r="F208" s="74">
        <v>43625</v>
      </c>
      <c r="G208" s="95"/>
      <c r="H208" s="72"/>
      <c r="I208" s="72"/>
      <c r="J208" s="72"/>
      <c r="K208" s="72"/>
      <c r="L208" s="72"/>
      <c r="M208" s="72"/>
      <c r="N208" s="72"/>
      <c r="O208" s="72"/>
      <c r="P208" s="72"/>
      <c r="Q208" s="63">
        <f t="shared" si="19"/>
        <v>0</v>
      </c>
      <c r="R208" s="63">
        <f t="shared" si="20"/>
        <v>0</v>
      </c>
      <c r="S208" s="63">
        <f t="shared" si="21"/>
        <v>0</v>
      </c>
    </row>
    <row r="209" spans="1:19" s="77" customFormat="1" ht="12" x14ac:dyDescent="0.2">
      <c r="A209" s="74" t="s">
        <v>9309</v>
      </c>
      <c r="B209" s="68" t="s">
        <v>9315</v>
      </c>
      <c r="C209" s="76">
        <v>119</v>
      </c>
      <c r="D209" s="72" t="s">
        <v>9323</v>
      </c>
      <c r="E209" s="68" t="s">
        <v>19</v>
      </c>
      <c r="F209" s="74">
        <v>43625</v>
      </c>
      <c r="G209" s="95"/>
      <c r="H209" s="72"/>
      <c r="I209" s="72"/>
      <c r="J209" s="72"/>
      <c r="K209" s="72"/>
      <c r="L209" s="72"/>
      <c r="M209" s="72"/>
      <c r="N209" s="72"/>
      <c r="O209" s="72"/>
      <c r="P209" s="72"/>
      <c r="Q209" s="63">
        <f t="shared" si="19"/>
        <v>0</v>
      </c>
      <c r="R209" s="63">
        <f t="shared" si="20"/>
        <v>0</v>
      </c>
      <c r="S209" s="63">
        <f t="shared" si="21"/>
        <v>0</v>
      </c>
    </row>
    <row r="210" spans="1:19" s="77" customFormat="1" ht="12" x14ac:dyDescent="0.2">
      <c r="A210" s="74" t="s">
        <v>9309</v>
      </c>
      <c r="B210" s="68" t="s">
        <v>9315</v>
      </c>
      <c r="C210" s="76">
        <v>119</v>
      </c>
      <c r="D210" s="72" t="s">
        <v>9324</v>
      </c>
      <c r="E210" s="68" t="s">
        <v>19</v>
      </c>
      <c r="F210" s="74">
        <v>43625</v>
      </c>
      <c r="G210" s="95"/>
      <c r="H210" s="72"/>
      <c r="I210" s="72"/>
      <c r="J210" s="72"/>
      <c r="K210" s="72"/>
      <c r="L210" s="72"/>
      <c r="M210" s="72"/>
      <c r="N210" s="72"/>
      <c r="O210" s="72"/>
      <c r="P210" s="72"/>
      <c r="Q210" s="63">
        <f t="shared" si="19"/>
        <v>0</v>
      </c>
      <c r="R210" s="63">
        <f t="shared" si="20"/>
        <v>0</v>
      </c>
      <c r="S210" s="63">
        <f t="shared" si="21"/>
        <v>0</v>
      </c>
    </row>
    <row r="211" spans="1:19" s="77" customFormat="1" ht="12" x14ac:dyDescent="0.2">
      <c r="A211" s="74" t="s">
        <v>9310</v>
      </c>
      <c r="B211" s="68" t="s">
        <v>9316</v>
      </c>
      <c r="C211" s="76">
        <v>120</v>
      </c>
      <c r="D211" s="72" t="s">
        <v>9325</v>
      </c>
      <c r="E211" s="68" t="s">
        <v>19</v>
      </c>
      <c r="F211" s="74">
        <v>43626</v>
      </c>
      <c r="G211" s="95">
        <v>572.9</v>
      </c>
      <c r="H211" s="72"/>
      <c r="I211" s="72"/>
      <c r="J211" s="72"/>
      <c r="K211" s="72"/>
      <c r="L211" s="72"/>
      <c r="M211" s="72"/>
      <c r="N211" s="72"/>
      <c r="O211" s="72"/>
      <c r="P211" s="72"/>
      <c r="Q211" s="63">
        <f t="shared" si="19"/>
        <v>572.9</v>
      </c>
      <c r="R211" s="63">
        <f t="shared" si="20"/>
        <v>0</v>
      </c>
      <c r="S211" s="63">
        <f t="shared" si="21"/>
        <v>572.9</v>
      </c>
    </row>
    <row r="212" spans="1:19" s="77" customFormat="1" ht="12" x14ac:dyDescent="0.2">
      <c r="A212" s="74" t="s">
        <v>9336</v>
      </c>
      <c r="B212" s="68" t="s">
        <v>9337</v>
      </c>
      <c r="C212" s="76">
        <v>121</v>
      </c>
      <c r="D212" s="72" t="s">
        <v>9338</v>
      </c>
      <c r="E212" s="68" t="s">
        <v>4179</v>
      </c>
      <c r="F212" s="74">
        <v>43629</v>
      </c>
      <c r="G212" s="174"/>
      <c r="H212" s="114"/>
      <c r="I212" s="114"/>
      <c r="J212" s="114"/>
      <c r="K212" s="114"/>
      <c r="L212" s="114"/>
      <c r="M212" s="114"/>
      <c r="N212" s="114"/>
      <c r="O212" s="114"/>
      <c r="P212" s="114"/>
      <c r="Q212" s="63">
        <f t="shared" si="19"/>
        <v>0</v>
      </c>
      <c r="R212" s="63">
        <f t="shared" si="20"/>
        <v>0</v>
      </c>
      <c r="S212" s="63">
        <f t="shared" si="21"/>
        <v>0</v>
      </c>
    </row>
    <row r="213" spans="1:19" s="77" customFormat="1" ht="12" x14ac:dyDescent="0.2">
      <c r="A213" s="74" t="s">
        <v>9347</v>
      </c>
      <c r="B213" s="68" t="s">
        <v>9356</v>
      </c>
      <c r="C213" s="76">
        <v>122</v>
      </c>
      <c r="D213" s="72" t="s">
        <v>9339</v>
      </c>
      <c r="E213" s="68" t="s">
        <v>19</v>
      </c>
      <c r="F213" s="74">
        <v>43632</v>
      </c>
      <c r="G213" s="174"/>
      <c r="H213" s="114"/>
      <c r="I213" s="114"/>
      <c r="J213" s="114"/>
      <c r="K213" s="114"/>
      <c r="L213" s="114"/>
      <c r="M213" s="114"/>
      <c r="N213" s="114"/>
      <c r="O213" s="114"/>
      <c r="P213" s="114"/>
      <c r="Q213" s="63">
        <f t="shared" si="19"/>
        <v>0</v>
      </c>
      <c r="R213" s="63">
        <f t="shared" si="20"/>
        <v>0</v>
      </c>
      <c r="S213" s="63">
        <f t="shared" si="21"/>
        <v>0</v>
      </c>
    </row>
    <row r="214" spans="1:19" s="77" customFormat="1" ht="12" x14ac:dyDescent="0.2">
      <c r="A214" s="74" t="s">
        <v>9348</v>
      </c>
      <c r="B214" s="68" t="s">
        <v>9357</v>
      </c>
      <c r="C214" s="76">
        <v>123</v>
      </c>
      <c r="D214" s="72" t="s">
        <v>9340</v>
      </c>
      <c r="E214" s="68" t="s">
        <v>19</v>
      </c>
      <c r="F214" s="74">
        <v>43634</v>
      </c>
      <c r="G214" s="174"/>
      <c r="H214" s="114"/>
      <c r="I214" s="114"/>
      <c r="J214" s="114"/>
      <c r="K214" s="114"/>
      <c r="L214" s="114"/>
      <c r="M214" s="114"/>
      <c r="N214" s="114"/>
      <c r="O214" s="114"/>
      <c r="P214" s="114"/>
      <c r="Q214" s="63">
        <f t="shared" si="19"/>
        <v>0</v>
      </c>
      <c r="R214" s="63">
        <f t="shared" si="20"/>
        <v>0</v>
      </c>
      <c r="S214" s="63">
        <f t="shared" si="21"/>
        <v>0</v>
      </c>
    </row>
    <row r="215" spans="1:19" s="77" customFormat="1" ht="12" x14ac:dyDescent="0.2">
      <c r="A215" s="74" t="s">
        <v>9349</v>
      </c>
      <c r="B215" s="68" t="s">
        <v>9358</v>
      </c>
      <c r="C215" s="76">
        <v>124</v>
      </c>
      <c r="D215" s="72" t="s">
        <v>9341</v>
      </c>
      <c r="E215" s="68" t="s">
        <v>4064</v>
      </c>
      <c r="F215" s="74">
        <v>43634</v>
      </c>
      <c r="G215" s="174"/>
      <c r="H215" s="114"/>
      <c r="I215" s="114"/>
      <c r="J215" s="114"/>
      <c r="K215" s="114"/>
      <c r="L215" s="114"/>
      <c r="M215" s="114"/>
      <c r="N215" s="114"/>
      <c r="O215" s="114"/>
      <c r="P215" s="114"/>
      <c r="Q215" s="63">
        <f t="shared" si="19"/>
        <v>0</v>
      </c>
      <c r="R215" s="63">
        <f t="shared" si="20"/>
        <v>0</v>
      </c>
      <c r="S215" s="63">
        <f t="shared" si="21"/>
        <v>0</v>
      </c>
    </row>
    <row r="216" spans="1:19" s="77" customFormat="1" ht="12" x14ac:dyDescent="0.2">
      <c r="A216" s="74" t="s">
        <v>9350</v>
      </c>
      <c r="B216" s="68" t="s">
        <v>9359</v>
      </c>
      <c r="C216" s="76">
        <v>125</v>
      </c>
      <c r="D216" s="72" t="s">
        <v>3462</v>
      </c>
      <c r="E216" s="68" t="s">
        <v>19</v>
      </c>
      <c r="F216" s="74">
        <v>43635</v>
      </c>
      <c r="G216" s="174"/>
      <c r="H216" s="114"/>
      <c r="I216" s="114"/>
      <c r="J216" s="114"/>
      <c r="K216" s="114"/>
      <c r="L216" s="114"/>
      <c r="M216" s="114"/>
      <c r="N216" s="114"/>
      <c r="O216" s="114"/>
      <c r="P216" s="114"/>
      <c r="Q216" s="63">
        <f t="shared" si="19"/>
        <v>0</v>
      </c>
      <c r="R216" s="63">
        <f t="shared" si="20"/>
        <v>0</v>
      </c>
      <c r="S216" s="63">
        <f t="shared" si="21"/>
        <v>0</v>
      </c>
    </row>
    <row r="217" spans="1:19" s="77" customFormat="1" ht="12" x14ac:dyDescent="0.2">
      <c r="A217" s="74" t="s">
        <v>9351</v>
      </c>
      <c r="B217" s="68" t="s">
        <v>9360</v>
      </c>
      <c r="C217" s="76">
        <v>126</v>
      </c>
      <c r="D217" s="72" t="s">
        <v>9342</v>
      </c>
      <c r="E217" s="68" t="s">
        <v>19</v>
      </c>
      <c r="F217" s="74">
        <v>43640</v>
      </c>
      <c r="G217" s="174"/>
      <c r="H217" s="114"/>
      <c r="I217" s="114"/>
      <c r="J217" s="114"/>
      <c r="K217" s="114"/>
      <c r="L217" s="114"/>
      <c r="M217" s="114"/>
      <c r="N217" s="114"/>
      <c r="O217" s="114"/>
      <c r="P217" s="114"/>
      <c r="Q217" s="63">
        <f t="shared" si="19"/>
        <v>0</v>
      </c>
      <c r="R217" s="63">
        <f t="shared" si="20"/>
        <v>0</v>
      </c>
      <c r="S217" s="63">
        <f t="shared" si="21"/>
        <v>0</v>
      </c>
    </row>
    <row r="218" spans="1:19" s="77" customFormat="1" ht="12" x14ac:dyDescent="0.2">
      <c r="A218" s="74" t="s">
        <v>9352</v>
      </c>
      <c r="B218" s="68" t="s">
        <v>9361</v>
      </c>
      <c r="C218" s="76">
        <v>127</v>
      </c>
      <c r="D218" s="72" t="s">
        <v>9343</v>
      </c>
      <c r="E218" s="68" t="s">
        <v>19</v>
      </c>
      <c r="F218" s="74">
        <v>43640</v>
      </c>
      <c r="G218" s="174"/>
      <c r="H218" s="114"/>
      <c r="I218" s="114"/>
      <c r="J218" s="114"/>
      <c r="K218" s="114"/>
      <c r="L218" s="114"/>
      <c r="M218" s="114"/>
      <c r="N218" s="114"/>
      <c r="O218" s="114"/>
      <c r="P218" s="114"/>
      <c r="Q218" s="63">
        <f t="shared" si="19"/>
        <v>0</v>
      </c>
      <c r="R218" s="63">
        <f t="shared" si="20"/>
        <v>0</v>
      </c>
      <c r="S218" s="63">
        <f t="shared" si="21"/>
        <v>0</v>
      </c>
    </row>
    <row r="219" spans="1:19" s="77" customFormat="1" ht="12" x14ac:dyDescent="0.2">
      <c r="A219" s="74" t="s">
        <v>9353</v>
      </c>
      <c r="B219" s="68" t="s">
        <v>9362</v>
      </c>
      <c r="C219" s="76">
        <v>128</v>
      </c>
      <c r="D219" s="72" t="s">
        <v>9344</v>
      </c>
      <c r="E219" s="68" t="s">
        <v>19</v>
      </c>
      <c r="F219" s="74">
        <v>43640</v>
      </c>
      <c r="G219" s="174"/>
      <c r="H219" s="114"/>
      <c r="I219" s="114"/>
      <c r="J219" s="114"/>
      <c r="K219" s="114"/>
      <c r="L219" s="114"/>
      <c r="M219" s="114"/>
      <c r="N219" s="114"/>
      <c r="O219" s="114"/>
      <c r="P219" s="114"/>
      <c r="Q219" s="63">
        <f t="shared" si="19"/>
        <v>0</v>
      </c>
      <c r="R219" s="63">
        <f t="shared" si="20"/>
        <v>0</v>
      </c>
      <c r="S219" s="63">
        <f t="shared" si="21"/>
        <v>0</v>
      </c>
    </row>
    <row r="220" spans="1:19" s="77" customFormat="1" ht="12" x14ac:dyDescent="0.2">
      <c r="A220" s="74" t="s">
        <v>9354</v>
      </c>
      <c r="B220" s="68" t="s">
        <v>9363</v>
      </c>
      <c r="C220" s="76">
        <v>129</v>
      </c>
      <c r="D220" s="72" t="s">
        <v>9345</v>
      </c>
      <c r="E220" s="68" t="s">
        <v>19</v>
      </c>
      <c r="F220" s="196">
        <v>43641</v>
      </c>
      <c r="G220" s="174"/>
      <c r="H220" s="114"/>
      <c r="I220" s="114"/>
      <c r="J220" s="114"/>
      <c r="K220" s="114"/>
      <c r="L220" s="114"/>
      <c r="M220" s="114"/>
      <c r="N220" s="114"/>
      <c r="O220" s="114"/>
      <c r="P220" s="114"/>
      <c r="Q220" s="63">
        <f t="shared" si="19"/>
        <v>0</v>
      </c>
      <c r="R220" s="63">
        <f t="shared" si="20"/>
        <v>0</v>
      </c>
      <c r="S220" s="63">
        <f t="shared" si="21"/>
        <v>0</v>
      </c>
    </row>
    <row r="221" spans="1:19" s="77" customFormat="1" ht="12" x14ac:dyDescent="0.2">
      <c r="A221" s="74" t="s">
        <v>9355</v>
      </c>
      <c r="B221" s="68" t="s">
        <v>9364</v>
      </c>
      <c r="C221" s="76">
        <v>130</v>
      </c>
      <c r="D221" s="72" t="s">
        <v>9346</v>
      </c>
      <c r="E221" s="68" t="s">
        <v>19</v>
      </c>
      <c r="F221" s="74">
        <v>43641</v>
      </c>
      <c r="G221" s="174"/>
      <c r="H221" s="114"/>
      <c r="I221" s="114"/>
      <c r="J221" s="114"/>
      <c r="K221" s="114"/>
      <c r="L221" s="114"/>
      <c r="M221" s="114"/>
      <c r="N221" s="114"/>
      <c r="O221" s="114"/>
      <c r="P221" s="114"/>
      <c r="Q221" s="63">
        <f t="shared" si="19"/>
        <v>0</v>
      </c>
      <c r="R221" s="63">
        <f t="shared" si="20"/>
        <v>0</v>
      </c>
      <c r="S221" s="63">
        <f t="shared" si="21"/>
        <v>0</v>
      </c>
    </row>
    <row r="222" spans="1:19" s="77" customFormat="1" ht="12" x14ac:dyDescent="0.2">
      <c r="A222" s="74" t="s">
        <v>9377</v>
      </c>
      <c r="B222" s="68" t="s">
        <v>9378</v>
      </c>
      <c r="C222" s="76">
        <v>131</v>
      </c>
      <c r="D222" s="72" t="s">
        <v>9365</v>
      </c>
      <c r="E222" s="68" t="s">
        <v>19</v>
      </c>
      <c r="F222" s="74">
        <v>43641</v>
      </c>
      <c r="G222" s="174"/>
      <c r="H222" s="114"/>
      <c r="I222" s="114"/>
      <c r="J222" s="114"/>
      <c r="K222" s="114"/>
      <c r="L222" s="114"/>
      <c r="M222" s="114"/>
      <c r="N222" s="114"/>
      <c r="O222" s="114"/>
      <c r="P222" s="114"/>
      <c r="Q222" s="63">
        <f t="shared" si="19"/>
        <v>0</v>
      </c>
      <c r="R222" s="63">
        <f t="shared" si="20"/>
        <v>0</v>
      </c>
      <c r="S222" s="63">
        <f t="shared" si="21"/>
        <v>0</v>
      </c>
    </row>
    <row r="223" spans="1:19" s="77" customFormat="1" ht="12" x14ac:dyDescent="0.2">
      <c r="A223" s="74" t="s">
        <v>9377</v>
      </c>
      <c r="B223" s="68" t="s">
        <v>9378</v>
      </c>
      <c r="C223" s="76">
        <v>131</v>
      </c>
      <c r="D223" s="72" t="s">
        <v>9366</v>
      </c>
      <c r="E223" s="68" t="s">
        <v>19</v>
      </c>
      <c r="F223" s="74">
        <v>43641</v>
      </c>
      <c r="G223" s="174"/>
      <c r="H223" s="114"/>
      <c r="I223" s="114"/>
      <c r="J223" s="114"/>
      <c r="K223" s="114"/>
      <c r="L223" s="114"/>
      <c r="M223" s="114"/>
      <c r="N223" s="114"/>
      <c r="O223" s="114"/>
      <c r="P223" s="114"/>
      <c r="Q223" s="63">
        <f t="shared" si="19"/>
        <v>0</v>
      </c>
      <c r="R223" s="63">
        <f t="shared" si="20"/>
        <v>0</v>
      </c>
      <c r="S223" s="63">
        <f t="shared" si="21"/>
        <v>0</v>
      </c>
    </row>
    <row r="224" spans="1:19" s="77" customFormat="1" ht="12" x14ac:dyDescent="0.2">
      <c r="A224" s="74" t="s">
        <v>9377</v>
      </c>
      <c r="B224" s="68" t="s">
        <v>9378</v>
      </c>
      <c r="C224" s="76">
        <v>131</v>
      </c>
      <c r="D224" s="72" t="s">
        <v>9367</v>
      </c>
      <c r="E224" s="68" t="s">
        <v>19</v>
      </c>
      <c r="F224" s="74">
        <v>43641</v>
      </c>
      <c r="G224" s="174"/>
      <c r="H224" s="114"/>
      <c r="I224" s="114"/>
      <c r="J224" s="114"/>
      <c r="K224" s="114"/>
      <c r="L224" s="114"/>
      <c r="M224" s="114"/>
      <c r="N224" s="114"/>
      <c r="O224" s="114"/>
      <c r="P224" s="114"/>
      <c r="Q224" s="63">
        <f t="shared" si="19"/>
        <v>0</v>
      </c>
      <c r="R224" s="63">
        <f t="shared" si="20"/>
        <v>0</v>
      </c>
      <c r="S224" s="63">
        <f t="shared" si="21"/>
        <v>0</v>
      </c>
    </row>
    <row r="225" spans="1:19" s="77" customFormat="1" ht="12" x14ac:dyDescent="0.2">
      <c r="A225" s="74" t="s">
        <v>9379</v>
      </c>
      <c r="B225" s="68" t="s">
        <v>9380</v>
      </c>
      <c r="C225" s="76">
        <v>132</v>
      </c>
      <c r="D225" s="72" t="s">
        <v>9368</v>
      </c>
      <c r="E225" s="68" t="s">
        <v>19</v>
      </c>
      <c r="F225" s="74">
        <v>43642</v>
      </c>
      <c r="G225" s="174"/>
      <c r="H225" s="114"/>
      <c r="I225" s="114"/>
      <c r="J225" s="114"/>
      <c r="K225" s="114"/>
      <c r="L225" s="114"/>
      <c r="M225" s="114"/>
      <c r="N225" s="114"/>
      <c r="O225" s="114"/>
      <c r="P225" s="114"/>
      <c r="Q225" s="63">
        <f t="shared" si="19"/>
        <v>0</v>
      </c>
      <c r="R225" s="63">
        <f t="shared" si="20"/>
        <v>0</v>
      </c>
      <c r="S225" s="63">
        <f t="shared" si="21"/>
        <v>0</v>
      </c>
    </row>
    <row r="226" spans="1:19" s="77" customFormat="1" ht="12" x14ac:dyDescent="0.2">
      <c r="A226" s="74" t="s">
        <v>9381</v>
      </c>
      <c r="B226" s="68" t="s">
        <v>9382</v>
      </c>
      <c r="C226" s="76">
        <v>133</v>
      </c>
      <c r="D226" s="72" t="s">
        <v>9369</v>
      </c>
      <c r="E226" s="68" t="s">
        <v>19</v>
      </c>
      <c r="F226" s="74">
        <v>43642</v>
      </c>
      <c r="G226" s="174"/>
      <c r="H226" s="114"/>
      <c r="I226" s="114"/>
      <c r="J226" s="114"/>
      <c r="K226" s="114"/>
      <c r="L226" s="114"/>
      <c r="M226" s="114"/>
      <c r="N226" s="114"/>
      <c r="O226" s="114"/>
      <c r="P226" s="114"/>
      <c r="Q226" s="63">
        <f t="shared" si="19"/>
        <v>0</v>
      </c>
      <c r="R226" s="63">
        <f t="shared" si="20"/>
        <v>0</v>
      </c>
      <c r="S226" s="63">
        <f t="shared" si="21"/>
        <v>0</v>
      </c>
    </row>
    <row r="227" spans="1:19" s="77" customFormat="1" ht="12" x14ac:dyDescent="0.2">
      <c r="A227" s="74" t="s">
        <v>9383</v>
      </c>
      <c r="B227" s="68" t="s">
        <v>9384</v>
      </c>
      <c r="C227" s="76">
        <v>134</v>
      </c>
      <c r="D227" s="72" t="s">
        <v>9370</v>
      </c>
      <c r="E227" s="68" t="s">
        <v>19</v>
      </c>
      <c r="F227" s="74">
        <v>43643</v>
      </c>
      <c r="G227" s="174"/>
      <c r="H227" s="114"/>
      <c r="I227" s="114"/>
      <c r="J227" s="114"/>
      <c r="K227" s="114"/>
      <c r="L227" s="114"/>
      <c r="M227" s="114"/>
      <c r="N227" s="114"/>
      <c r="O227" s="114"/>
      <c r="P227" s="114"/>
      <c r="Q227" s="63">
        <f t="shared" si="19"/>
        <v>0</v>
      </c>
      <c r="R227" s="63">
        <f t="shared" si="20"/>
        <v>0</v>
      </c>
      <c r="S227" s="63">
        <f t="shared" si="21"/>
        <v>0</v>
      </c>
    </row>
    <row r="228" spans="1:19" s="77" customFormat="1" ht="12" x14ac:dyDescent="0.2">
      <c r="A228" s="74" t="s">
        <v>9385</v>
      </c>
      <c r="B228" s="68" t="s">
        <v>9386</v>
      </c>
      <c r="C228" s="76">
        <v>135</v>
      </c>
      <c r="D228" s="72" t="s">
        <v>9371</v>
      </c>
      <c r="E228" s="68" t="s">
        <v>19</v>
      </c>
      <c r="F228" s="74">
        <v>43643</v>
      </c>
      <c r="G228" s="174"/>
      <c r="H228" s="114"/>
      <c r="I228" s="114"/>
      <c r="J228" s="114"/>
      <c r="K228" s="114"/>
      <c r="L228" s="114"/>
      <c r="M228" s="114"/>
      <c r="N228" s="114"/>
      <c r="O228" s="114"/>
      <c r="P228" s="114"/>
      <c r="Q228" s="63">
        <f t="shared" si="19"/>
        <v>0</v>
      </c>
      <c r="R228" s="63">
        <f t="shared" si="20"/>
        <v>0</v>
      </c>
      <c r="S228" s="63">
        <f t="shared" si="21"/>
        <v>0</v>
      </c>
    </row>
    <row r="229" spans="1:19" s="77" customFormat="1" ht="12" x14ac:dyDescent="0.2">
      <c r="A229" s="74" t="s">
        <v>9387</v>
      </c>
      <c r="B229" s="68" t="s">
        <v>9388</v>
      </c>
      <c r="C229" s="76">
        <v>136</v>
      </c>
      <c r="D229" s="72" t="s">
        <v>9372</v>
      </c>
      <c r="E229" s="68" t="s">
        <v>19</v>
      </c>
      <c r="F229" s="74">
        <v>43646</v>
      </c>
      <c r="G229" s="174"/>
      <c r="H229" s="114"/>
      <c r="I229" s="114"/>
      <c r="J229" s="114"/>
      <c r="K229" s="114"/>
      <c r="L229" s="114"/>
      <c r="M229" s="114"/>
      <c r="N229" s="114"/>
      <c r="O229" s="114"/>
      <c r="P229" s="114"/>
      <c r="Q229" s="63">
        <f t="shared" si="19"/>
        <v>0</v>
      </c>
      <c r="R229" s="63">
        <f t="shared" si="20"/>
        <v>0</v>
      </c>
      <c r="S229" s="63">
        <f t="shared" si="21"/>
        <v>0</v>
      </c>
    </row>
    <row r="230" spans="1:19" s="77" customFormat="1" ht="12" x14ac:dyDescent="0.2">
      <c r="A230" s="74" t="s">
        <v>9387</v>
      </c>
      <c r="B230" s="68" t="s">
        <v>9388</v>
      </c>
      <c r="C230" s="76">
        <v>136</v>
      </c>
      <c r="D230" s="72" t="s">
        <v>9373</v>
      </c>
      <c r="E230" s="68" t="s">
        <v>19</v>
      </c>
      <c r="F230" s="74">
        <v>43646</v>
      </c>
      <c r="G230" s="174"/>
      <c r="H230" s="114"/>
      <c r="I230" s="114"/>
      <c r="J230" s="114"/>
      <c r="K230" s="114"/>
      <c r="L230" s="114"/>
      <c r="M230" s="114"/>
      <c r="N230" s="114"/>
      <c r="O230" s="114"/>
      <c r="P230" s="114"/>
      <c r="Q230" s="63">
        <f t="shared" si="19"/>
        <v>0</v>
      </c>
      <c r="R230" s="63">
        <f t="shared" si="20"/>
        <v>0</v>
      </c>
      <c r="S230" s="63">
        <f t="shared" si="21"/>
        <v>0</v>
      </c>
    </row>
    <row r="231" spans="1:19" s="77" customFormat="1" ht="12" x14ac:dyDescent="0.2">
      <c r="A231" s="74" t="s">
        <v>9389</v>
      </c>
      <c r="B231" s="68" t="s">
        <v>9390</v>
      </c>
      <c r="C231" s="76">
        <v>137</v>
      </c>
      <c r="D231" s="72" t="s">
        <v>9374</v>
      </c>
      <c r="E231" s="68" t="s">
        <v>19</v>
      </c>
      <c r="F231" s="74">
        <v>43646</v>
      </c>
      <c r="G231" s="174"/>
      <c r="H231" s="114"/>
      <c r="I231" s="114"/>
      <c r="J231" s="114"/>
      <c r="K231" s="114"/>
      <c r="L231" s="114"/>
      <c r="M231" s="114"/>
      <c r="N231" s="114"/>
      <c r="O231" s="114"/>
      <c r="P231" s="114"/>
      <c r="Q231" s="63">
        <f t="shared" si="19"/>
        <v>0</v>
      </c>
      <c r="R231" s="63">
        <f t="shared" si="20"/>
        <v>0</v>
      </c>
      <c r="S231" s="63">
        <f t="shared" si="21"/>
        <v>0</v>
      </c>
    </row>
    <row r="232" spans="1:19" s="77" customFormat="1" ht="12" x14ac:dyDescent="0.2">
      <c r="A232" s="74" t="s">
        <v>9389</v>
      </c>
      <c r="B232" s="68" t="s">
        <v>9390</v>
      </c>
      <c r="C232" s="76">
        <v>137</v>
      </c>
      <c r="D232" s="72" t="s">
        <v>9375</v>
      </c>
      <c r="E232" s="68" t="s">
        <v>19</v>
      </c>
      <c r="F232" s="74">
        <v>43646</v>
      </c>
      <c r="G232" s="95"/>
      <c r="H232" s="72"/>
      <c r="I232" s="72"/>
      <c r="J232" s="72"/>
      <c r="K232" s="72"/>
      <c r="L232" s="72"/>
      <c r="M232" s="72"/>
      <c r="N232" s="72"/>
      <c r="O232" s="72"/>
      <c r="P232" s="72"/>
      <c r="Q232" s="63">
        <f t="shared" si="19"/>
        <v>0</v>
      </c>
      <c r="R232" s="63">
        <f t="shared" si="20"/>
        <v>0</v>
      </c>
      <c r="S232" s="63">
        <f t="shared" si="21"/>
        <v>0</v>
      </c>
    </row>
    <row r="233" spans="1:19" s="77" customFormat="1" ht="12" x14ac:dyDescent="0.2">
      <c r="A233" s="74" t="s">
        <v>9391</v>
      </c>
      <c r="B233" s="68" t="s">
        <v>9392</v>
      </c>
      <c r="C233" s="76">
        <v>138</v>
      </c>
      <c r="D233" s="72" t="s">
        <v>9376</v>
      </c>
      <c r="E233" s="68" t="s">
        <v>19</v>
      </c>
      <c r="F233" s="74">
        <v>43647</v>
      </c>
      <c r="G233" s="95"/>
      <c r="H233" s="72"/>
      <c r="I233" s="72"/>
      <c r="J233" s="72"/>
      <c r="K233" s="72"/>
      <c r="L233" s="72"/>
      <c r="M233" s="72"/>
      <c r="N233" s="72"/>
      <c r="O233" s="72"/>
      <c r="P233" s="72"/>
      <c r="Q233" s="63">
        <f t="shared" si="19"/>
        <v>0</v>
      </c>
      <c r="R233" s="63">
        <f t="shared" si="20"/>
        <v>0</v>
      </c>
      <c r="S233" s="63">
        <f t="shared" si="21"/>
        <v>0</v>
      </c>
    </row>
    <row r="234" spans="1:19" x14ac:dyDescent="0.25">
      <c r="C234"/>
      <c r="E234"/>
      <c r="G234" s="197">
        <f>SUM(G7:G233)</f>
        <v>146414.48000000004</v>
      </c>
      <c r="H234" s="197">
        <f t="shared" ref="H234:S234" si="22">SUM(H7:H233)</f>
        <v>0</v>
      </c>
      <c r="I234" s="197">
        <f t="shared" si="22"/>
        <v>49025</v>
      </c>
      <c r="J234" s="197">
        <f t="shared" si="22"/>
        <v>0</v>
      </c>
      <c r="K234" s="197">
        <f t="shared" si="22"/>
        <v>0</v>
      </c>
      <c r="L234" s="197">
        <f t="shared" si="22"/>
        <v>0</v>
      </c>
      <c r="M234" s="197">
        <f t="shared" si="22"/>
        <v>8400</v>
      </c>
      <c r="N234" s="197">
        <f t="shared" si="22"/>
        <v>0</v>
      </c>
      <c r="O234" s="197">
        <f t="shared" si="22"/>
        <v>33600</v>
      </c>
      <c r="P234" s="197">
        <f t="shared" si="22"/>
        <v>0</v>
      </c>
      <c r="Q234" s="197">
        <f t="shared" si="22"/>
        <v>237439.47999999989</v>
      </c>
      <c r="R234" s="197">
        <f t="shared" si="22"/>
        <v>0</v>
      </c>
      <c r="S234" s="197">
        <f t="shared" si="22"/>
        <v>237439.47999999989</v>
      </c>
    </row>
    <row r="300" spans="42:45" x14ac:dyDescent="0.25">
      <c r="AP300">
        <f>$W300-SUM(AO300:AO301)</f>
        <v>0</v>
      </c>
      <c r="AS300" t="e">
        <f>$X300-SUM(AR300:AR)</f>
        <v>#NAME?</v>
      </c>
    </row>
  </sheetData>
  <mergeCells count="25">
    <mergeCell ref="O3:P3"/>
    <mergeCell ref="Q3:Q6"/>
    <mergeCell ref="R3:R6"/>
    <mergeCell ref="S3:S6"/>
    <mergeCell ref="L4:L6"/>
    <mergeCell ref="M4:M6"/>
    <mergeCell ref="N4:N6"/>
    <mergeCell ref="O4:O6"/>
    <mergeCell ref="P4:P6"/>
    <mergeCell ref="A2:S2"/>
    <mergeCell ref="A3:A6"/>
    <mergeCell ref="B3:B6"/>
    <mergeCell ref="C3:C6"/>
    <mergeCell ref="D3:D6"/>
    <mergeCell ref="E3:E6"/>
    <mergeCell ref="F3:F6"/>
    <mergeCell ref="G3:H3"/>
    <mergeCell ref="I3:J3"/>
    <mergeCell ref="K3:L3"/>
    <mergeCell ref="G4:G6"/>
    <mergeCell ref="H4:H6"/>
    <mergeCell ref="I4:I6"/>
    <mergeCell ref="J4:J6"/>
    <mergeCell ref="K4:K6"/>
    <mergeCell ref="M3:N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4"/>
  <sheetViews>
    <sheetView topLeftCell="C1" workbookViewId="0">
      <pane xSplit="1" ySplit="6" topLeftCell="N481" activePane="bottomRight" state="frozen"/>
      <selection activeCell="C1" sqref="C1"/>
      <selection pane="topRight" activeCell="D1" sqref="D1"/>
      <selection pane="bottomLeft" activeCell="C7" sqref="C7"/>
      <selection pane="bottomRight" activeCell="O494" sqref="O494"/>
    </sheetView>
  </sheetViews>
  <sheetFormatPr baseColWidth="10" defaultRowHeight="15" x14ac:dyDescent="0.25"/>
  <cols>
    <col min="1" max="1" width="0" hidden="1" customWidth="1"/>
    <col min="2" max="2" width="7.7109375" bestFit="1" customWidth="1"/>
    <col min="3" max="3" width="7.140625" style="154" customWidth="1"/>
    <col min="4" max="4" width="29.7109375" customWidth="1"/>
    <col min="5" max="5" width="18.42578125" style="166" customWidth="1"/>
    <col min="6" max="6" width="10.85546875" customWidth="1"/>
  </cols>
  <sheetData>
    <row r="1" spans="1:19" s="77" customFormat="1" ht="6.75" customHeight="1" thickBot="1" x14ac:dyDescent="0.25">
      <c r="A1" s="102"/>
      <c r="B1" s="71"/>
      <c r="C1" s="153"/>
      <c r="D1" s="73"/>
      <c r="E1" s="164"/>
      <c r="F1" s="134"/>
      <c r="G1" s="128"/>
      <c r="H1" s="128"/>
      <c r="I1" s="128"/>
      <c r="J1" s="128"/>
      <c r="K1" s="94"/>
      <c r="L1" s="94"/>
      <c r="M1" s="94"/>
      <c r="N1" s="94"/>
      <c r="O1" s="94"/>
      <c r="P1" s="94"/>
      <c r="Q1" s="94"/>
      <c r="R1" s="94"/>
      <c r="S1" s="94"/>
    </row>
    <row r="2" spans="1:19" s="77" customFormat="1" ht="16.5" thickBot="1" x14ac:dyDescent="0.25">
      <c r="A2" s="198" t="s">
        <v>9393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200"/>
    </row>
    <row r="3" spans="1:19" s="159" customFormat="1" ht="15" customHeight="1" x14ac:dyDescent="0.25">
      <c r="A3" s="201" t="s">
        <v>0</v>
      </c>
      <c r="B3" s="202" t="s">
        <v>1</v>
      </c>
      <c r="C3" s="203" t="s">
        <v>2</v>
      </c>
      <c r="D3" s="204" t="s">
        <v>3</v>
      </c>
      <c r="E3" s="205" t="s">
        <v>4</v>
      </c>
      <c r="F3" s="208" t="s">
        <v>5</v>
      </c>
      <c r="G3" s="209" t="s">
        <v>6</v>
      </c>
      <c r="H3" s="209"/>
      <c r="I3" s="209" t="s">
        <v>7</v>
      </c>
      <c r="J3" s="209"/>
      <c r="K3" s="210" t="s">
        <v>8</v>
      </c>
      <c r="L3" s="210"/>
      <c r="M3" s="210" t="s">
        <v>9</v>
      </c>
      <c r="N3" s="210"/>
      <c r="O3" s="210" t="s">
        <v>10</v>
      </c>
      <c r="P3" s="210"/>
      <c r="Q3" s="215" t="s">
        <v>11</v>
      </c>
      <c r="R3" s="215" t="s">
        <v>12</v>
      </c>
      <c r="S3" s="217" t="s">
        <v>13</v>
      </c>
    </row>
    <row r="4" spans="1:19" s="159" customFormat="1" ht="12" x14ac:dyDescent="0.25">
      <c r="A4" s="201"/>
      <c r="B4" s="202"/>
      <c r="C4" s="203"/>
      <c r="D4" s="204"/>
      <c r="E4" s="206"/>
      <c r="F4" s="208"/>
      <c r="G4" s="211" t="s">
        <v>14</v>
      </c>
      <c r="H4" s="203" t="s">
        <v>15</v>
      </c>
      <c r="I4" s="211" t="s">
        <v>14</v>
      </c>
      <c r="J4" s="211" t="s">
        <v>15</v>
      </c>
      <c r="K4" s="213" t="s">
        <v>14</v>
      </c>
      <c r="L4" s="211" t="s">
        <v>15</v>
      </c>
      <c r="M4" s="211" t="s">
        <v>14</v>
      </c>
      <c r="N4" s="211" t="s">
        <v>15</v>
      </c>
      <c r="O4" s="211" t="s">
        <v>14</v>
      </c>
      <c r="P4" s="211" t="s">
        <v>15</v>
      </c>
      <c r="Q4" s="211"/>
      <c r="R4" s="211"/>
      <c r="S4" s="218"/>
    </row>
    <row r="5" spans="1:19" s="159" customFormat="1" ht="12" x14ac:dyDescent="0.25">
      <c r="A5" s="201"/>
      <c r="B5" s="202"/>
      <c r="C5" s="203"/>
      <c r="D5" s="204"/>
      <c r="E5" s="206"/>
      <c r="F5" s="208"/>
      <c r="G5" s="211"/>
      <c r="H5" s="203"/>
      <c r="I5" s="211"/>
      <c r="J5" s="211"/>
      <c r="K5" s="213"/>
      <c r="L5" s="211"/>
      <c r="M5" s="211"/>
      <c r="N5" s="211"/>
      <c r="O5" s="211"/>
      <c r="P5" s="211"/>
      <c r="Q5" s="211"/>
      <c r="R5" s="211"/>
      <c r="S5" s="218"/>
    </row>
    <row r="6" spans="1:19" s="159" customFormat="1" ht="12" x14ac:dyDescent="0.25">
      <c r="A6" s="201"/>
      <c r="B6" s="202"/>
      <c r="C6" s="203"/>
      <c r="D6" s="204"/>
      <c r="E6" s="207"/>
      <c r="F6" s="208"/>
      <c r="G6" s="211"/>
      <c r="H6" s="212"/>
      <c r="I6" s="211"/>
      <c r="J6" s="211"/>
      <c r="K6" s="214"/>
      <c r="L6" s="216"/>
      <c r="M6" s="216"/>
      <c r="N6" s="216"/>
      <c r="O6" s="216"/>
      <c r="P6" s="216"/>
      <c r="Q6" s="216"/>
      <c r="R6" s="216"/>
      <c r="S6" s="219"/>
    </row>
    <row r="7" spans="1:19" s="77" customFormat="1" ht="12" x14ac:dyDescent="0.2">
      <c r="A7" s="85">
        <v>7533</v>
      </c>
      <c r="B7" s="85" t="s">
        <v>7897</v>
      </c>
      <c r="C7" s="88">
        <v>1</v>
      </c>
      <c r="D7" s="86" t="s">
        <v>7898</v>
      </c>
      <c r="E7" s="165" t="s">
        <v>19</v>
      </c>
      <c r="F7" s="87">
        <v>43101</v>
      </c>
      <c r="G7" s="95">
        <f>558+400+576.16+61.5+35</f>
        <v>1630.6599999999999</v>
      </c>
      <c r="H7" s="63"/>
      <c r="I7" s="63"/>
      <c r="J7" s="63"/>
      <c r="K7" s="133"/>
      <c r="L7" s="63"/>
      <c r="M7" s="63"/>
      <c r="N7" s="63"/>
      <c r="O7" s="63"/>
      <c r="P7" s="63"/>
      <c r="Q7" s="63">
        <f>+G7+I7+K7+M7+O7</f>
        <v>1630.6599999999999</v>
      </c>
      <c r="R7" s="63">
        <f>+H7+J7+L7+N7+P7</f>
        <v>0</v>
      </c>
      <c r="S7" s="63">
        <f>+Q7+R7</f>
        <v>1630.6599999999999</v>
      </c>
    </row>
    <row r="8" spans="1:19" s="77" customFormat="1" ht="12" x14ac:dyDescent="0.2">
      <c r="A8" s="85">
        <v>7533</v>
      </c>
      <c r="B8" s="85" t="s">
        <v>7897</v>
      </c>
      <c r="C8" s="88">
        <v>1</v>
      </c>
      <c r="D8" s="86" t="s">
        <v>7899</v>
      </c>
      <c r="E8" s="165" t="s">
        <v>19</v>
      </c>
      <c r="F8" s="87">
        <v>43101</v>
      </c>
      <c r="G8" s="95">
        <v>119.44</v>
      </c>
      <c r="H8" s="63"/>
      <c r="I8" s="63"/>
      <c r="J8" s="63"/>
      <c r="K8" s="133"/>
      <c r="L8" s="63"/>
      <c r="M8" s="63"/>
      <c r="N8" s="63"/>
      <c r="O8" s="63"/>
      <c r="P8" s="63"/>
      <c r="Q8" s="63">
        <f t="shared" ref="Q8:Q71" si="0">+G8+I8+K8+M8+O8</f>
        <v>119.44</v>
      </c>
      <c r="R8" s="63">
        <f t="shared" ref="R8:R71" si="1">+H8+J8+L8+N8+P8</f>
        <v>0</v>
      </c>
      <c r="S8" s="63">
        <f t="shared" ref="S8:S71" si="2">+Q8+R8</f>
        <v>119.44</v>
      </c>
    </row>
    <row r="9" spans="1:19" s="77" customFormat="1" ht="12" x14ac:dyDescent="0.2">
      <c r="A9" s="85">
        <v>755</v>
      </c>
      <c r="B9" s="85" t="s">
        <v>7900</v>
      </c>
      <c r="C9" s="88">
        <v>2</v>
      </c>
      <c r="D9" s="86" t="s">
        <v>7901</v>
      </c>
      <c r="E9" s="165" t="s">
        <v>19</v>
      </c>
      <c r="F9" s="74">
        <v>43104</v>
      </c>
      <c r="G9" s="95"/>
      <c r="H9" s="63"/>
      <c r="I9" s="63"/>
      <c r="J9" s="63"/>
      <c r="K9" s="133"/>
      <c r="L9" s="63"/>
      <c r="M9" s="63"/>
      <c r="N9" s="63"/>
      <c r="O9" s="63"/>
      <c r="P9" s="63"/>
      <c r="Q9" s="63">
        <f t="shared" si="0"/>
        <v>0</v>
      </c>
      <c r="R9" s="63">
        <f t="shared" si="1"/>
        <v>0</v>
      </c>
      <c r="S9" s="63">
        <f t="shared" si="2"/>
        <v>0</v>
      </c>
    </row>
    <row r="10" spans="1:19" s="77" customFormat="1" ht="12" x14ac:dyDescent="0.2">
      <c r="A10" s="85">
        <v>2083</v>
      </c>
      <c r="B10" s="85" t="s">
        <v>7902</v>
      </c>
      <c r="C10" s="88">
        <v>3</v>
      </c>
      <c r="D10" s="86" t="s">
        <v>7903</v>
      </c>
      <c r="E10" s="165" t="s">
        <v>19</v>
      </c>
      <c r="F10" s="74">
        <v>43104</v>
      </c>
      <c r="G10" s="95">
        <f>185.97+331.3</f>
        <v>517.27</v>
      </c>
      <c r="H10" s="63"/>
      <c r="I10" s="63"/>
      <c r="J10" s="63"/>
      <c r="K10" s="133"/>
      <c r="L10" s="63"/>
      <c r="M10" s="63"/>
      <c r="N10" s="63"/>
      <c r="O10" s="63"/>
      <c r="P10" s="63"/>
      <c r="Q10" s="63">
        <f t="shared" si="0"/>
        <v>517.27</v>
      </c>
      <c r="R10" s="63">
        <f t="shared" si="1"/>
        <v>0</v>
      </c>
      <c r="S10" s="63">
        <f t="shared" si="2"/>
        <v>517.27</v>
      </c>
    </row>
    <row r="11" spans="1:19" s="77" customFormat="1" ht="12" x14ac:dyDescent="0.2">
      <c r="A11" s="85">
        <v>16947</v>
      </c>
      <c r="B11" s="85" t="s">
        <v>7904</v>
      </c>
      <c r="C11" s="189">
        <v>4</v>
      </c>
      <c r="D11" s="86" t="s">
        <v>7905</v>
      </c>
      <c r="E11" s="192" t="s">
        <v>19</v>
      </c>
      <c r="F11" s="191">
        <v>43106</v>
      </c>
      <c r="G11" s="95">
        <f>810+596.54+70</f>
        <v>1476.54</v>
      </c>
      <c r="H11" s="63"/>
      <c r="I11" s="63"/>
      <c r="J11" s="63"/>
      <c r="K11" s="133"/>
      <c r="L11" s="63"/>
      <c r="M11" s="63"/>
      <c r="N11" s="63"/>
      <c r="O11" s="63"/>
      <c r="P11" s="63"/>
      <c r="Q11" s="63">
        <f t="shared" si="0"/>
        <v>1476.54</v>
      </c>
      <c r="R11" s="63">
        <f t="shared" si="1"/>
        <v>0</v>
      </c>
      <c r="S11" s="63">
        <f t="shared" si="2"/>
        <v>1476.54</v>
      </c>
    </row>
    <row r="12" spans="1:19" s="77" customFormat="1" ht="12" x14ac:dyDescent="0.2">
      <c r="A12" s="85">
        <v>3155</v>
      </c>
      <c r="B12" s="85" t="s">
        <v>7906</v>
      </c>
      <c r="C12" s="189">
        <v>5</v>
      </c>
      <c r="D12" s="171" t="s">
        <v>7907</v>
      </c>
      <c r="E12" s="190" t="s">
        <v>19</v>
      </c>
      <c r="F12" s="74">
        <v>43107</v>
      </c>
      <c r="G12" s="95">
        <f>20.25+331.3+41.3+13.5+59+362.34+370+205+54.29</f>
        <v>1456.98</v>
      </c>
      <c r="H12" s="63"/>
      <c r="I12" s="63">
        <v>1303.33</v>
      </c>
      <c r="J12" s="63"/>
      <c r="K12" s="133"/>
      <c r="L12" s="63"/>
      <c r="M12" s="63"/>
      <c r="N12" s="63"/>
      <c r="O12" s="63"/>
      <c r="P12" s="63"/>
      <c r="Q12" s="63">
        <f t="shared" si="0"/>
        <v>2760.31</v>
      </c>
      <c r="R12" s="63">
        <f t="shared" si="1"/>
        <v>0</v>
      </c>
      <c r="S12" s="63">
        <f t="shared" si="2"/>
        <v>2760.31</v>
      </c>
    </row>
    <row r="13" spans="1:19" s="77" customFormat="1" ht="12.75" thickBot="1" x14ac:dyDescent="0.25">
      <c r="A13" s="184">
        <v>1712</v>
      </c>
      <c r="B13" s="176" t="s">
        <v>6230</v>
      </c>
      <c r="C13" s="177">
        <v>6</v>
      </c>
      <c r="D13" s="187" t="s">
        <v>7908</v>
      </c>
      <c r="E13" s="178" t="s">
        <v>19</v>
      </c>
      <c r="F13" s="179">
        <v>43108</v>
      </c>
      <c r="G13" s="180">
        <f>232+35</f>
        <v>267</v>
      </c>
      <c r="H13" s="181"/>
      <c r="I13" s="181">
        <v>368.33</v>
      </c>
      <c r="J13" s="181"/>
      <c r="K13" s="182"/>
      <c r="L13" s="181"/>
      <c r="M13" s="183"/>
      <c r="N13" s="181"/>
      <c r="O13" s="181"/>
      <c r="P13" s="181"/>
      <c r="Q13" s="181">
        <f t="shared" si="0"/>
        <v>635.32999999999993</v>
      </c>
      <c r="R13" s="181">
        <f t="shared" si="1"/>
        <v>0</v>
      </c>
      <c r="S13" s="181">
        <f t="shared" si="2"/>
        <v>635.32999999999993</v>
      </c>
    </row>
    <row r="14" spans="1:19" s="77" customFormat="1" ht="12" x14ac:dyDescent="0.2">
      <c r="A14" s="185">
        <v>10518</v>
      </c>
      <c r="B14" s="169" t="s">
        <v>7909</v>
      </c>
      <c r="C14" s="170">
        <v>7</v>
      </c>
      <c r="D14" s="188" t="s">
        <v>7910</v>
      </c>
      <c r="E14" s="172" t="s">
        <v>19</v>
      </c>
      <c r="F14" s="173">
        <v>43108</v>
      </c>
      <c r="G14" s="174"/>
      <c r="H14" s="115"/>
      <c r="I14" s="115">
        <v>283.33</v>
      </c>
      <c r="J14" s="115"/>
      <c r="K14" s="175"/>
      <c r="L14" s="115"/>
      <c r="M14" s="115"/>
      <c r="N14" s="115"/>
      <c r="O14" s="115"/>
      <c r="P14" s="115"/>
      <c r="Q14" s="115">
        <f t="shared" si="0"/>
        <v>283.33</v>
      </c>
      <c r="R14" s="115">
        <f t="shared" si="1"/>
        <v>0</v>
      </c>
      <c r="S14" s="115">
        <f t="shared" si="2"/>
        <v>283.33</v>
      </c>
    </row>
    <row r="15" spans="1:19" s="77" customFormat="1" ht="12" x14ac:dyDescent="0.2">
      <c r="A15" s="186">
        <v>15353</v>
      </c>
      <c r="B15" s="85" t="s">
        <v>7911</v>
      </c>
      <c r="C15" s="88">
        <v>8</v>
      </c>
      <c r="D15" s="86" t="s">
        <v>7912</v>
      </c>
      <c r="E15" s="165" t="s">
        <v>19</v>
      </c>
      <c r="F15" s="74">
        <v>43109</v>
      </c>
      <c r="G15" s="95">
        <v>122.78</v>
      </c>
      <c r="H15" s="63"/>
      <c r="I15" s="63"/>
      <c r="J15" s="63"/>
      <c r="K15" s="133"/>
      <c r="L15" s="63"/>
      <c r="M15" s="63"/>
      <c r="N15" s="63"/>
      <c r="O15" s="63"/>
      <c r="P15" s="63"/>
      <c r="Q15" s="63">
        <f t="shared" si="0"/>
        <v>122.78</v>
      </c>
      <c r="R15" s="63">
        <f t="shared" si="1"/>
        <v>0</v>
      </c>
      <c r="S15" s="63">
        <f t="shared" si="2"/>
        <v>122.78</v>
      </c>
    </row>
    <row r="16" spans="1:19" s="77" customFormat="1" ht="12" x14ac:dyDescent="0.2">
      <c r="A16" s="186">
        <v>149116</v>
      </c>
      <c r="B16" s="85" t="s">
        <v>7913</v>
      </c>
      <c r="C16" s="88">
        <v>9</v>
      </c>
      <c r="D16" s="86" t="s">
        <v>7914</v>
      </c>
      <c r="E16" s="165" t="s">
        <v>19</v>
      </c>
      <c r="F16" s="74">
        <v>43109</v>
      </c>
      <c r="G16" s="95">
        <f>181.89+54.53+41.3+41.3+41.3</f>
        <v>360.32</v>
      </c>
      <c r="H16" s="63"/>
      <c r="I16" s="63"/>
      <c r="J16" s="63"/>
      <c r="K16" s="133"/>
      <c r="L16" s="63"/>
      <c r="M16" s="63"/>
      <c r="N16" s="63"/>
      <c r="O16" s="63"/>
      <c r="P16" s="63"/>
      <c r="Q16" s="63">
        <f t="shared" si="0"/>
        <v>360.32</v>
      </c>
      <c r="R16" s="63">
        <f t="shared" si="1"/>
        <v>0</v>
      </c>
      <c r="S16" s="63">
        <f t="shared" si="2"/>
        <v>360.32</v>
      </c>
    </row>
    <row r="17" spans="1:19" s="77" customFormat="1" ht="12" x14ac:dyDescent="0.2">
      <c r="A17" s="186">
        <v>7584</v>
      </c>
      <c r="B17" s="85" t="s">
        <v>7915</v>
      </c>
      <c r="C17" s="88">
        <v>10</v>
      </c>
      <c r="D17" s="86" t="s">
        <v>7916</v>
      </c>
      <c r="E17" s="165" t="s">
        <v>19</v>
      </c>
      <c r="F17" s="74">
        <v>43115</v>
      </c>
      <c r="G17" s="95">
        <v>48</v>
      </c>
      <c r="H17" s="63"/>
      <c r="I17" s="63"/>
      <c r="J17" s="63"/>
      <c r="K17" s="133"/>
      <c r="L17" s="63"/>
      <c r="M17" s="63"/>
      <c r="N17" s="63"/>
      <c r="O17" s="63"/>
      <c r="P17" s="63"/>
      <c r="Q17" s="63">
        <f t="shared" si="0"/>
        <v>48</v>
      </c>
      <c r="R17" s="63">
        <f t="shared" si="1"/>
        <v>0</v>
      </c>
      <c r="S17" s="63">
        <f t="shared" si="2"/>
        <v>48</v>
      </c>
    </row>
    <row r="18" spans="1:19" s="77" customFormat="1" ht="12" x14ac:dyDescent="0.2">
      <c r="A18" s="186">
        <v>7584</v>
      </c>
      <c r="B18" s="85" t="s">
        <v>7915</v>
      </c>
      <c r="C18" s="88">
        <v>10</v>
      </c>
      <c r="D18" s="86" t="s">
        <v>7917</v>
      </c>
      <c r="E18" s="165" t="s">
        <v>19</v>
      </c>
      <c r="F18" s="74">
        <v>43115</v>
      </c>
      <c r="G18" s="95">
        <v>106.14</v>
      </c>
      <c r="H18" s="63"/>
      <c r="I18" s="63"/>
      <c r="J18" s="63"/>
      <c r="K18" s="133"/>
      <c r="L18" s="63"/>
      <c r="M18" s="63"/>
      <c r="N18" s="63"/>
      <c r="O18" s="63"/>
      <c r="P18" s="63"/>
      <c r="Q18" s="63">
        <f t="shared" si="0"/>
        <v>106.14</v>
      </c>
      <c r="R18" s="63">
        <f t="shared" si="1"/>
        <v>0</v>
      </c>
      <c r="S18" s="63">
        <f t="shared" si="2"/>
        <v>106.14</v>
      </c>
    </row>
    <row r="19" spans="1:19" s="77" customFormat="1" ht="12" x14ac:dyDescent="0.2">
      <c r="A19" s="186">
        <v>16993</v>
      </c>
      <c r="B19" s="85" t="s">
        <v>7921</v>
      </c>
      <c r="C19" s="88">
        <v>11</v>
      </c>
      <c r="D19" s="73" t="s">
        <v>7922</v>
      </c>
      <c r="E19" s="165" t="s">
        <v>7256</v>
      </c>
      <c r="F19" s="74">
        <v>43115</v>
      </c>
      <c r="G19" s="95">
        <f>167+26.7</f>
        <v>193.7</v>
      </c>
      <c r="H19" s="63"/>
      <c r="I19" s="63"/>
      <c r="J19" s="63"/>
      <c r="K19" s="133"/>
      <c r="L19" s="63"/>
      <c r="M19" s="63"/>
      <c r="N19" s="63"/>
      <c r="O19" s="63"/>
      <c r="P19" s="63"/>
      <c r="Q19" s="63">
        <f t="shared" si="0"/>
        <v>193.7</v>
      </c>
      <c r="R19" s="63">
        <f t="shared" si="1"/>
        <v>0</v>
      </c>
      <c r="S19" s="63">
        <f t="shared" si="2"/>
        <v>193.7</v>
      </c>
    </row>
    <row r="20" spans="1:19" s="77" customFormat="1" ht="12" x14ac:dyDescent="0.2">
      <c r="A20" s="186">
        <v>15893</v>
      </c>
      <c r="B20" s="85" t="s">
        <v>7708</v>
      </c>
      <c r="C20" s="88">
        <v>12</v>
      </c>
      <c r="D20" s="73" t="s">
        <v>7923</v>
      </c>
      <c r="E20" s="165" t="s">
        <v>19</v>
      </c>
      <c r="F20" s="74">
        <v>43119</v>
      </c>
      <c r="G20" s="95"/>
      <c r="H20" s="63"/>
      <c r="I20" s="63"/>
      <c r="J20" s="63"/>
      <c r="K20" s="133"/>
      <c r="L20" s="63"/>
      <c r="M20" s="63"/>
      <c r="N20" s="63"/>
      <c r="O20" s="63"/>
      <c r="P20" s="63"/>
      <c r="Q20" s="63">
        <f t="shared" si="0"/>
        <v>0</v>
      </c>
      <c r="R20" s="63">
        <f t="shared" si="1"/>
        <v>0</v>
      </c>
      <c r="S20" s="63">
        <f t="shared" si="2"/>
        <v>0</v>
      </c>
    </row>
    <row r="21" spans="1:19" s="77" customFormat="1" ht="12" x14ac:dyDescent="0.2">
      <c r="A21" s="186">
        <v>4963</v>
      </c>
      <c r="B21" s="85" t="s">
        <v>7924</v>
      </c>
      <c r="C21" s="88">
        <v>13</v>
      </c>
      <c r="D21" s="86" t="s">
        <v>7920</v>
      </c>
      <c r="E21" s="165" t="s">
        <v>4064</v>
      </c>
      <c r="F21" s="74">
        <v>43119</v>
      </c>
      <c r="G21" s="95"/>
      <c r="H21" s="63"/>
      <c r="I21" s="63">
        <v>4050</v>
      </c>
      <c r="J21" s="63"/>
      <c r="K21" s="133"/>
      <c r="L21" s="63"/>
      <c r="M21" s="63"/>
      <c r="N21" s="63"/>
      <c r="O21" s="63"/>
      <c r="P21" s="63"/>
      <c r="Q21" s="63">
        <f t="shared" si="0"/>
        <v>4050</v>
      </c>
      <c r="R21" s="63">
        <f t="shared" si="1"/>
        <v>0</v>
      </c>
      <c r="S21" s="63">
        <f t="shared" si="2"/>
        <v>4050</v>
      </c>
    </row>
    <row r="22" spans="1:19" s="77" customFormat="1" ht="12" x14ac:dyDescent="0.2">
      <c r="A22" s="186">
        <v>14289</v>
      </c>
      <c r="B22" s="85" t="s">
        <v>7926</v>
      </c>
      <c r="C22" s="88">
        <v>14</v>
      </c>
      <c r="D22" s="86" t="s">
        <v>7934</v>
      </c>
      <c r="E22" s="165" t="s">
        <v>4064</v>
      </c>
      <c r="F22" s="87">
        <v>43122</v>
      </c>
      <c r="G22" s="95">
        <f>215+93.5</f>
        <v>308.5</v>
      </c>
      <c r="H22" s="63"/>
      <c r="I22" s="63"/>
      <c r="J22" s="63"/>
      <c r="K22" s="133"/>
      <c r="L22" s="63"/>
      <c r="M22" s="63"/>
      <c r="N22" s="63"/>
      <c r="O22" s="63"/>
      <c r="P22" s="63"/>
      <c r="Q22" s="63">
        <f t="shared" si="0"/>
        <v>308.5</v>
      </c>
      <c r="R22" s="63">
        <f t="shared" si="1"/>
        <v>0</v>
      </c>
      <c r="S22" s="63">
        <f t="shared" si="2"/>
        <v>308.5</v>
      </c>
    </row>
    <row r="23" spans="1:19" s="77" customFormat="1" ht="12" x14ac:dyDescent="0.2">
      <c r="A23" s="186">
        <v>11846</v>
      </c>
      <c r="B23" s="85" t="s">
        <v>7925</v>
      </c>
      <c r="C23" s="88">
        <v>15</v>
      </c>
      <c r="D23" s="86" t="s">
        <v>7935</v>
      </c>
      <c r="E23" s="165" t="s">
        <v>19</v>
      </c>
      <c r="F23" s="87">
        <v>43125</v>
      </c>
      <c r="G23" s="95">
        <f>528.63+70</f>
        <v>598.63</v>
      </c>
      <c r="H23" s="63"/>
      <c r="I23" s="63"/>
      <c r="J23" s="63"/>
      <c r="K23" s="133"/>
      <c r="L23" s="63"/>
      <c r="M23" s="63"/>
      <c r="N23" s="63"/>
      <c r="O23" s="63"/>
      <c r="P23" s="63"/>
      <c r="Q23" s="63">
        <f t="shared" si="0"/>
        <v>598.63</v>
      </c>
      <c r="R23" s="63">
        <f t="shared" si="1"/>
        <v>0</v>
      </c>
      <c r="S23" s="63">
        <f t="shared" si="2"/>
        <v>598.63</v>
      </c>
    </row>
    <row r="24" spans="1:19" s="77" customFormat="1" ht="12" x14ac:dyDescent="0.2">
      <c r="A24" s="186">
        <v>475</v>
      </c>
      <c r="B24" s="85" t="s">
        <v>5016</v>
      </c>
      <c r="C24" s="88">
        <v>16</v>
      </c>
      <c r="D24" s="86" t="s">
        <v>7936</v>
      </c>
      <c r="E24" s="165" t="s">
        <v>19</v>
      </c>
      <c r="F24" s="87">
        <v>43125</v>
      </c>
      <c r="G24" s="95">
        <v>199.8</v>
      </c>
      <c r="H24" s="63"/>
      <c r="I24" s="63"/>
      <c r="J24" s="63"/>
      <c r="K24" s="133"/>
      <c r="L24" s="63"/>
      <c r="M24" s="63"/>
      <c r="N24" s="63"/>
      <c r="O24" s="63"/>
      <c r="P24" s="63"/>
      <c r="Q24" s="63">
        <f t="shared" si="0"/>
        <v>199.8</v>
      </c>
      <c r="R24" s="63">
        <f t="shared" si="1"/>
        <v>0</v>
      </c>
      <c r="S24" s="63">
        <f t="shared" si="2"/>
        <v>199.8</v>
      </c>
    </row>
    <row r="25" spans="1:19" s="77" customFormat="1" ht="12" x14ac:dyDescent="0.2">
      <c r="A25" s="186">
        <v>16981</v>
      </c>
      <c r="B25" s="85" t="s">
        <v>5607</v>
      </c>
      <c r="C25" s="88">
        <v>17</v>
      </c>
      <c r="D25" s="86" t="s">
        <v>7937</v>
      </c>
      <c r="E25" s="165" t="s">
        <v>19</v>
      </c>
      <c r="F25" s="87">
        <v>43129</v>
      </c>
      <c r="G25" s="95">
        <f>404.57+75.99+78.19+202.96+24.9</f>
        <v>786.61</v>
      </c>
      <c r="H25" s="63"/>
      <c r="I25" s="63">
        <f>850+1303.33</f>
        <v>2153.33</v>
      </c>
      <c r="J25" s="63"/>
      <c r="K25" s="133"/>
      <c r="L25" s="63"/>
      <c r="M25" s="63"/>
      <c r="N25" s="63"/>
      <c r="O25" s="63"/>
      <c r="P25" s="63"/>
      <c r="Q25" s="63">
        <f t="shared" si="0"/>
        <v>2939.94</v>
      </c>
      <c r="R25" s="63">
        <f t="shared" si="1"/>
        <v>0</v>
      </c>
      <c r="S25" s="63">
        <f t="shared" si="2"/>
        <v>2939.94</v>
      </c>
    </row>
    <row r="26" spans="1:19" s="77" customFormat="1" ht="12" x14ac:dyDescent="0.2">
      <c r="A26" s="85">
        <v>14095</v>
      </c>
      <c r="B26" s="85" t="s">
        <v>7927</v>
      </c>
      <c r="C26" s="88">
        <v>18</v>
      </c>
      <c r="D26" s="86" t="s">
        <v>7938</v>
      </c>
      <c r="E26" s="165" t="s">
        <v>19</v>
      </c>
      <c r="F26" s="87">
        <v>43129</v>
      </c>
      <c r="G26" s="95">
        <f>83.78+7.02</f>
        <v>90.8</v>
      </c>
      <c r="H26" s="63"/>
      <c r="I26" s="63"/>
      <c r="J26" s="63"/>
      <c r="K26" s="133"/>
      <c r="L26" s="63"/>
      <c r="M26" s="63"/>
      <c r="N26" s="63"/>
      <c r="O26" s="63"/>
      <c r="P26" s="63"/>
      <c r="Q26" s="63">
        <f t="shared" si="0"/>
        <v>90.8</v>
      </c>
      <c r="R26" s="63">
        <f t="shared" si="1"/>
        <v>0</v>
      </c>
      <c r="S26" s="63">
        <f t="shared" si="2"/>
        <v>90.8</v>
      </c>
    </row>
    <row r="27" spans="1:19" s="77" customFormat="1" ht="12" x14ac:dyDescent="0.2">
      <c r="A27" s="85">
        <v>16190</v>
      </c>
      <c r="B27" s="85" t="s">
        <v>7928</v>
      </c>
      <c r="C27" s="88">
        <v>19</v>
      </c>
      <c r="D27" s="86" t="s">
        <v>9069</v>
      </c>
      <c r="E27" s="165" t="s">
        <v>19</v>
      </c>
      <c r="F27" s="87">
        <v>43130</v>
      </c>
      <c r="G27" s="95">
        <f>400+238+4005.92+41.3+139.71+560.49+172.52+41.3+71.65+331.3+140.92+470.48+41.3+66.08+395.41+157.95+170.22+157.95+416.28+133.38+172.52+139.71+312.09+70+353.75+41.3+416.25+395.41+41.3+890+236+41.3+765.41+41.3+457.9+395.44+118.44</f>
        <v>13040.279999999997</v>
      </c>
      <c r="H27" s="63"/>
      <c r="I27" s="63">
        <f>850+850+850+930+670</f>
        <v>4150</v>
      </c>
      <c r="J27" s="63"/>
      <c r="K27" s="133"/>
      <c r="L27" s="63"/>
      <c r="M27" s="63"/>
      <c r="N27" s="63"/>
      <c r="O27" s="63"/>
      <c r="P27" s="63"/>
      <c r="Q27" s="63">
        <f t="shared" si="0"/>
        <v>17190.28</v>
      </c>
      <c r="R27" s="63">
        <f t="shared" si="1"/>
        <v>0</v>
      </c>
      <c r="S27" s="63">
        <f t="shared" si="2"/>
        <v>17190.28</v>
      </c>
    </row>
    <row r="28" spans="1:19" s="77" customFormat="1" ht="12" x14ac:dyDescent="0.2">
      <c r="A28" s="85">
        <v>2542</v>
      </c>
      <c r="B28" s="85" t="s">
        <v>7929</v>
      </c>
      <c r="C28" s="88">
        <v>20</v>
      </c>
      <c r="D28" s="86" t="s">
        <v>7939</v>
      </c>
      <c r="E28" s="165" t="s">
        <v>19</v>
      </c>
      <c r="F28" s="87">
        <v>43130</v>
      </c>
      <c r="G28" s="95">
        <v>185.8</v>
      </c>
      <c r="H28" s="63"/>
      <c r="I28" s="63"/>
      <c r="J28" s="63"/>
      <c r="K28" s="133"/>
      <c r="L28" s="63"/>
      <c r="M28" s="63"/>
      <c r="N28" s="63"/>
      <c r="O28" s="63"/>
      <c r="P28" s="63"/>
      <c r="Q28" s="63">
        <f t="shared" si="0"/>
        <v>185.8</v>
      </c>
      <c r="R28" s="63">
        <f t="shared" si="1"/>
        <v>0</v>
      </c>
      <c r="S28" s="63">
        <f t="shared" si="2"/>
        <v>185.8</v>
      </c>
    </row>
    <row r="29" spans="1:19" s="77" customFormat="1" ht="12" x14ac:dyDescent="0.2">
      <c r="A29" s="85">
        <v>6357</v>
      </c>
      <c r="B29" s="85" t="s">
        <v>7930</v>
      </c>
      <c r="C29" s="88">
        <v>21</v>
      </c>
      <c r="D29" s="86" t="s">
        <v>7940</v>
      </c>
      <c r="E29" s="165" t="s">
        <v>19</v>
      </c>
      <c r="F29" s="87">
        <v>43130</v>
      </c>
      <c r="G29" s="95">
        <v>433.99</v>
      </c>
      <c r="H29" s="63"/>
      <c r="I29" s="63"/>
      <c r="J29" s="63"/>
      <c r="K29" s="133"/>
      <c r="L29" s="63"/>
      <c r="M29" s="63"/>
      <c r="N29" s="63"/>
      <c r="O29" s="63"/>
      <c r="P29" s="63"/>
      <c r="Q29" s="63">
        <f t="shared" si="0"/>
        <v>433.99</v>
      </c>
      <c r="R29" s="63">
        <f t="shared" si="1"/>
        <v>0</v>
      </c>
      <c r="S29" s="63">
        <f t="shared" si="2"/>
        <v>433.99</v>
      </c>
    </row>
    <row r="30" spans="1:19" s="77" customFormat="1" ht="12" x14ac:dyDescent="0.2">
      <c r="A30" s="85">
        <v>9557</v>
      </c>
      <c r="B30" s="85" t="s">
        <v>7931</v>
      </c>
      <c r="C30" s="88">
        <v>22</v>
      </c>
      <c r="D30" s="86" t="s">
        <v>7941</v>
      </c>
      <c r="E30" s="165" t="s">
        <v>19</v>
      </c>
      <c r="F30" s="87">
        <v>43133</v>
      </c>
      <c r="G30" s="95"/>
      <c r="H30" s="63"/>
      <c r="I30" s="63"/>
      <c r="J30" s="63"/>
      <c r="K30" s="133"/>
      <c r="L30" s="63"/>
      <c r="M30" s="63"/>
      <c r="N30" s="63"/>
      <c r="O30" s="63"/>
      <c r="P30" s="63"/>
      <c r="Q30" s="63">
        <f t="shared" si="0"/>
        <v>0</v>
      </c>
      <c r="R30" s="63">
        <f t="shared" si="1"/>
        <v>0</v>
      </c>
      <c r="S30" s="63">
        <f t="shared" si="2"/>
        <v>0</v>
      </c>
    </row>
    <row r="31" spans="1:19" s="77" customFormat="1" ht="12" x14ac:dyDescent="0.2">
      <c r="A31" s="85" t="s">
        <v>8668</v>
      </c>
      <c r="B31" s="85" t="s">
        <v>7932</v>
      </c>
      <c r="C31" s="88">
        <v>23</v>
      </c>
      <c r="D31" s="86" t="s">
        <v>7942</v>
      </c>
      <c r="E31" s="165" t="s">
        <v>19</v>
      </c>
      <c r="F31" s="87">
        <v>43133</v>
      </c>
      <c r="G31" s="95">
        <f>132.16+1.48</f>
        <v>133.63999999999999</v>
      </c>
      <c r="H31" s="63"/>
      <c r="I31" s="63"/>
      <c r="J31" s="63"/>
      <c r="K31" s="133"/>
      <c r="L31" s="63"/>
      <c r="M31" s="63"/>
      <c r="N31" s="63"/>
      <c r="O31" s="63"/>
      <c r="P31" s="63"/>
      <c r="Q31" s="63">
        <f t="shared" si="0"/>
        <v>133.63999999999999</v>
      </c>
      <c r="R31" s="63">
        <f t="shared" si="1"/>
        <v>0</v>
      </c>
      <c r="S31" s="63">
        <f t="shared" si="2"/>
        <v>133.63999999999999</v>
      </c>
    </row>
    <row r="32" spans="1:19" s="77" customFormat="1" ht="12" x14ac:dyDescent="0.2">
      <c r="A32" s="85">
        <v>4985</v>
      </c>
      <c r="B32" s="85" t="s">
        <v>7933</v>
      </c>
      <c r="C32" s="88">
        <v>24</v>
      </c>
      <c r="D32" s="86" t="s">
        <v>7943</v>
      </c>
      <c r="E32" s="165" t="s">
        <v>7256</v>
      </c>
      <c r="F32" s="87">
        <v>43136</v>
      </c>
      <c r="G32" s="95">
        <f>960+300+4582.94+302.7+576</f>
        <v>6721.6399999999994</v>
      </c>
      <c r="H32" s="63"/>
      <c r="I32" s="63"/>
      <c r="J32" s="63"/>
      <c r="K32" s="133"/>
      <c r="L32" s="63"/>
      <c r="M32" s="63"/>
      <c r="N32" s="63"/>
      <c r="O32" s="63"/>
      <c r="P32" s="63"/>
      <c r="Q32" s="63">
        <f t="shared" si="0"/>
        <v>6721.6399999999994</v>
      </c>
      <c r="R32" s="63">
        <f t="shared" si="1"/>
        <v>0</v>
      </c>
      <c r="S32" s="63">
        <f t="shared" si="2"/>
        <v>6721.6399999999994</v>
      </c>
    </row>
    <row r="33" spans="1:19" s="77" customFormat="1" ht="12" x14ac:dyDescent="0.2">
      <c r="A33" s="85">
        <v>4985</v>
      </c>
      <c r="B33" s="85" t="s">
        <v>7933</v>
      </c>
      <c r="C33" s="88">
        <v>24</v>
      </c>
      <c r="D33" s="86" t="s">
        <v>8061</v>
      </c>
      <c r="E33" s="165" t="s">
        <v>7256</v>
      </c>
      <c r="F33" s="87">
        <v>43136</v>
      </c>
      <c r="G33" s="95"/>
      <c r="H33" s="63"/>
      <c r="I33" s="63"/>
      <c r="J33" s="63"/>
      <c r="K33" s="133"/>
      <c r="L33" s="63"/>
      <c r="M33" s="63">
        <v>4150</v>
      </c>
      <c r="N33" s="63"/>
      <c r="O33" s="63">
        <v>16600</v>
      </c>
      <c r="P33" s="63"/>
      <c r="Q33" s="63">
        <f t="shared" si="0"/>
        <v>20750</v>
      </c>
      <c r="R33" s="63">
        <f t="shared" si="1"/>
        <v>0</v>
      </c>
      <c r="S33" s="63">
        <f t="shared" si="2"/>
        <v>20750</v>
      </c>
    </row>
    <row r="34" spans="1:19" s="77" customFormat="1" ht="12" x14ac:dyDescent="0.2">
      <c r="A34" s="85">
        <v>4985</v>
      </c>
      <c r="B34" s="85" t="s">
        <v>7933</v>
      </c>
      <c r="C34" s="88">
        <v>24</v>
      </c>
      <c r="D34" s="73" t="s">
        <v>8135</v>
      </c>
      <c r="E34" s="165" t="s">
        <v>7256</v>
      </c>
      <c r="F34" s="87">
        <v>43136</v>
      </c>
      <c r="G34" s="95"/>
      <c r="H34" s="63"/>
      <c r="I34" s="63"/>
      <c r="J34" s="63"/>
      <c r="K34" s="133"/>
      <c r="L34" s="63"/>
      <c r="M34" s="63">
        <v>4150</v>
      </c>
      <c r="N34" s="63"/>
      <c r="O34" s="63">
        <v>16600</v>
      </c>
      <c r="P34" s="63"/>
      <c r="Q34" s="63">
        <f t="shared" si="0"/>
        <v>20750</v>
      </c>
      <c r="R34" s="63">
        <f t="shared" si="1"/>
        <v>0</v>
      </c>
      <c r="S34" s="63">
        <f t="shared" si="2"/>
        <v>20750</v>
      </c>
    </row>
    <row r="35" spans="1:19" s="77" customFormat="1" ht="12" x14ac:dyDescent="0.2">
      <c r="A35" s="85">
        <v>5179</v>
      </c>
      <c r="B35" s="85" t="s">
        <v>7944</v>
      </c>
      <c r="C35" s="88">
        <v>25</v>
      </c>
      <c r="D35" s="86" t="s">
        <v>7950</v>
      </c>
      <c r="E35" s="165" t="s">
        <v>19</v>
      </c>
      <c r="F35" s="87">
        <v>43136</v>
      </c>
      <c r="G35" s="95">
        <f>256.53+41.3+117.22+41.3+40.35+41.3+54.74+41.3</f>
        <v>634.04</v>
      </c>
      <c r="H35" s="63"/>
      <c r="I35" s="63">
        <v>283.33</v>
      </c>
      <c r="J35" s="63"/>
      <c r="K35" s="133"/>
      <c r="L35" s="63"/>
      <c r="M35" s="63"/>
      <c r="N35" s="63"/>
      <c r="O35" s="63"/>
      <c r="P35" s="63"/>
      <c r="Q35" s="63">
        <f t="shared" si="0"/>
        <v>917.36999999999989</v>
      </c>
      <c r="R35" s="63">
        <f t="shared" si="1"/>
        <v>0</v>
      </c>
      <c r="S35" s="63">
        <f t="shared" si="2"/>
        <v>917.36999999999989</v>
      </c>
    </row>
    <row r="36" spans="1:19" s="77" customFormat="1" ht="12" x14ac:dyDescent="0.2">
      <c r="A36" s="85">
        <v>5179</v>
      </c>
      <c r="B36" s="85" t="s">
        <v>7944</v>
      </c>
      <c r="C36" s="88">
        <v>25</v>
      </c>
      <c r="D36" s="86" t="s">
        <v>7959</v>
      </c>
      <c r="E36" s="165" t="s">
        <v>19</v>
      </c>
      <c r="F36" s="87">
        <v>43136</v>
      </c>
      <c r="G36" s="95">
        <v>86.45</v>
      </c>
      <c r="H36" s="63"/>
      <c r="I36" s="63"/>
      <c r="J36" s="63"/>
      <c r="K36" s="133"/>
      <c r="L36" s="63"/>
      <c r="M36" s="63"/>
      <c r="N36" s="63"/>
      <c r="O36" s="63"/>
      <c r="P36" s="63"/>
      <c r="Q36" s="63">
        <f t="shared" si="0"/>
        <v>86.45</v>
      </c>
      <c r="R36" s="63">
        <f t="shared" si="1"/>
        <v>0</v>
      </c>
      <c r="S36" s="63">
        <f t="shared" si="2"/>
        <v>86.45</v>
      </c>
    </row>
    <row r="37" spans="1:19" s="77" customFormat="1" ht="12" x14ac:dyDescent="0.2">
      <c r="A37" s="68">
        <v>14221</v>
      </c>
      <c r="B37" s="68" t="s">
        <v>7945</v>
      </c>
      <c r="C37" s="88">
        <v>26</v>
      </c>
      <c r="D37" s="86" t="s">
        <v>7951</v>
      </c>
      <c r="E37" s="165" t="s">
        <v>4064</v>
      </c>
      <c r="F37" s="74">
        <v>43136</v>
      </c>
      <c r="G37" s="95">
        <f>300+3738.18+782+145+410.1+470+820</f>
        <v>6665.2800000000007</v>
      </c>
      <c r="H37" s="63"/>
      <c r="I37" s="63"/>
      <c r="J37" s="63"/>
      <c r="K37" s="133"/>
      <c r="L37" s="63"/>
      <c r="M37" s="63"/>
      <c r="N37" s="63"/>
      <c r="O37" s="63"/>
      <c r="P37" s="63"/>
      <c r="Q37" s="63">
        <f t="shared" si="0"/>
        <v>6665.2800000000007</v>
      </c>
      <c r="R37" s="63">
        <f t="shared" si="1"/>
        <v>0</v>
      </c>
      <c r="S37" s="63">
        <f t="shared" si="2"/>
        <v>6665.2800000000007</v>
      </c>
    </row>
    <row r="38" spans="1:19" s="77" customFormat="1" ht="12" x14ac:dyDescent="0.2">
      <c r="A38" s="68">
        <v>14090</v>
      </c>
      <c r="B38" s="68" t="s">
        <v>7946</v>
      </c>
      <c r="C38" s="88">
        <v>27</v>
      </c>
      <c r="D38" s="86" t="s">
        <v>7952</v>
      </c>
      <c r="E38" s="165" t="s">
        <v>19</v>
      </c>
      <c r="F38" s="74">
        <v>43136</v>
      </c>
      <c r="G38" s="95">
        <f>272.58+25.43</f>
        <v>298.01</v>
      </c>
      <c r="H38" s="63"/>
      <c r="I38" s="63">
        <v>198.33</v>
      </c>
      <c r="J38" s="63"/>
      <c r="K38" s="133"/>
      <c r="L38" s="63"/>
      <c r="M38" s="63"/>
      <c r="N38" s="63"/>
      <c r="O38" s="63"/>
      <c r="P38" s="63"/>
      <c r="Q38" s="63">
        <f t="shared" si="0"/>
        <v>496.34000000000003</v>
      </c>
      <c r="R38" s="63">
        <f t="shared" si="1"/>
        <v>0</v>
      </c>
      <c r="S38" s="63">
        <f t="shared" si="2"/>
        <v>496.34000000000003</v>
      </c>
    </row>
    <row r="39" spans="1:19" s="77" customFormat="1" ht="12" x14ac:dyDescent="0.2">
      <c r="A39" s="68">
        <v>14090</v>
      </c>
      <c r="B39" s="68" t="s">
        <v>7946</v>
      </c>
      <c r="C39" s="88">
        <v>27</v>
      </c>
      <c r="D39" s="86" t="s">
        <v>7953</v>
      </c>
      <c r="E39" s="165" t="s">
        <v>19</v>
      </c>
      <c r="F39" s="74">
        <v>43136</v>
      </c>
      <c r="G39" s="95">
        <f>84.96+0.53</f>
        <v>85.49</v>
      </c>
      <c r="H39" s="63"/>
      <c r="I39" s="63"/>
      <c r="J39" s="63"/>
      <c r="K39" s="133"/>
      <c r="L39" s="63"/>
      <c r="M39" s="63"/>
      <c r="N39" s="63"/>
      <c r="O39" s="63"/>
      <c r="P39" s="63"/>
      <c r="Q39" s="63">
        <f t="shared" si="0"/>
        <v>85.49</v>
      </c>
      <c r="R39" s="63">
        <f t="shared" si="1"/>
        <v>0</v>
      </c>
      <c r="S39" s="63">
        <f t="shared" si="2"/>
        <v>85.49</v>
      </c>
    </row>
    <row r="40" spans="1:19" s="77" customFormat="1" ht="12" x14ac:dyDescent="0.2">
      <c r="A40" s="68">
        <v>14090</v>
      </c>
      <c r="B40" s="68" t="s">
        <v>7946</v>
      </c>
      <c r="C40" s="88">
        <v>27</v>
      </c>
      <c r="D40" s="86" t="s">
        <v>7954</v>
      </c>
      <c r="E40" s="165" t="s">
        <v>19</v>
      </c>
      <c r="F40" s="74">
        <v>43136</v>
      </c>
      <c r="G40" s="95">
        <v>47.2</v>
      </c>
      <c r="H40" s="63"/>
      <c r="I40" s="63"/>
      <c r="J40" s="63"/>
      <c r="K40" s="133"/>
      <c r="L40" s="63"/>
      <c r="M40" s="63"/>
      <c r="N40" s="63"/>
      <c r="O40" s="63"/>
      <c r="P40" s="63"/>
      <c r="Q40" s="63">
        <f t="shared" si="0"/>
        <v>47.2</v>
      </c>
      <c r="R40" s="63">
        <f t="shared" si="1"/>
        <v>0</v>
      </c>
      <c r="S40" s="63">
        <f t="shared" si="2"/>
        <v>47.2</v>
      </c>
    </row>
    <row r="41" spans="1:19" s="77" customFormat="1" ht="12" x14ac:dyDescent="0.2">
      <c r="A41" s="68">
        <v>14090</v>
      </c>
      <c r="B41" s="68" t="s">
        <v>7946</v>
      </c>
      <c r="C41" s="88">
        <v>27</v>
      </c>
      <c r="D41" s="86" t="s">
        <v>7955</v>
      </c>
      <c r="E41" s="165" t="s">
        <v>19</v>
      </c>
      <c r="F41" s="74">
        <v>43136</v>
      </c>
      <c r="G41" s="95">
        <v>47.2</v>
      </c>
      <c r="H41" s="63"/>
      <c r="I41" s="63"/>
      <c r="J41" s="63"/>
      <c r="K41" s="133"/>
      <c r="L41" s="63"/>
      <c r="M41" s="63"/>
      <c r="N41" s="63"/>
      <c r="O41" s="63"/>
      <c r="P41" s="63"/>
      <c r="Q41" s="63">
        <f t="shared" si="0"/>
        <v>47.2</v>
      </c>
      <c r="R41" s="63">
        <f t="shared" si="1"/>
        <v>0</v>
      </c>
      <c r="S41" s="63">
        <f t="shared" si="2"/>
        <v>47.2</v>
      </c>
    </row>
    <row r="42" spans="1:19" s="77" customFormat="1" ht="12" x14ac:dyDescent="0.2">
      <c r="A42" s="68">
        <v>12636</v>
      </c>
      <c r="B42" s="68" t="s">
        <v>7947</v>
      </c>
      <c r="C42" s="88">
        <v>28</v>
      </c>
      <c r="D42" s="86" t="s">
        <v>7956</v>
      </c>
      <c r="E42" s="165" t="s">
        <v>19</v>
      </c>
      <c r="F42" s="74">
        <v>43138</v>
      </c>
      <c r="G42" s="95">
        <f>2087.95+128.24+107.09</f>
        <v>2323.2799999999997</v>
      </c>
      <c r="H42" s="63"/>
      <c r="I42" s="63"/>
      <c r="J42" s="63"/>
      <c r="K42" s="133"/>
      <c r="L42" s="63"/>
      <c r="M42" s="63"/>
      <c r="N42" s="63"/>
      <c r="O42" s="63"/>
      <c r="P42" s="63"/>
      <c r="Q42" s="63">
        <f t="shared" si="0"/>
        <v>2323.2799999999997</v>
      </c>
      <c r="R42" s="63">
        <f t="shared" si="1"/>
        <v>0</v>
      </c>
      <c r="S42" s="63">
        <f t="shared" si="2"/>
        <v>2323.2799999999997</v>
      </c>
    </row>
    <row r="43" spans="1:19" s="77" customFormat="1" ht="12" x14ac:dyDescent="0.2">
      <c r="A43" s="68">
        <v>17494</v>
      </c>
      <c r="B43" s="68" t="s">
        <v>7948</v>
      </c>
      <c r="C43" s="88">
        <v>29</v>
      </c>
      <c r="D43" s="86" t="s">
        <v>7957</v>
      </c>
      <c r="E43" s="165" t="s">
        <v>19</v>
      </c>
      <c r="F43" s="74">
        <v>43139</v>
      </c>
      <c r="G43" s="95">
        <f>29.4+474.82+42.9+45.2+350+41.3+41.3+93.79+35</f>
        <v>1153.71</v>
      </c>
      <c r="H43" s="63"/>
      <c r="I43" s="63">
        <v>1473.33</v>
      </c>
      <c r="J43" s="63"/>
      <c r="K43" s="133"/>
      <c r="L43" s="63"/>
      <c r="M43" s="63"/>
      <c r="N43" s="63"/>
      <c r="O43" s="63"/>
      <c r="P43" s="63"/>
      <c r="Q43" s="63">
        <f t="shared" si="0"/>
        <v>2627.04</v>
      </c>
      <c r="R43" s="63">
        <f t="shared" si="1"/>
        <v>0</v>
      </c>
      <c r="S43" s="63">
        <f t="shared" si="2"/>
        <v>2627.04</v>
      </c>
    </row>
    <row r="44" spans="1:19" s="77" customFormat="1" ht="12" x14ac:dyDescent="0.2">
      <c r="A44" s="68">
        <v>14129</v>
      </c>
      <c r="B44" s="68" t="s">
        <v>7949</v>
      </c>
      <c r="C44" s="88">
        <v>30</v>
      </c>
      <c r="D44" s="86" t="s">
        <v>7958</v>
      </c>
      <c r="E44" s="165" t="s">
        <v>19</v>
      </c>
      <c r="F44" s="74">
        <v>43139</v>
      </c>
      <c r="G44" s="95"/>
      <c r="H44" s="63"/>
      <c r="I44" s="63"/>
      <c r="J44" s="63"/>
      <c r="K44" s="133"/>
      <c r="L44" s="63"/>
      <c r="M44" s="63"/>
      <c r="N44" s="63"/>
      <c r="O44" s="63"/>
      <c r="P44" s="63"/>
      <c r="Q44" s="63">
        <f t="shared" si="0"/>
        <v>0</v>
      </c>
      <c r="R44" s="63">
        <f t="shared" si="1"/>
        <v>0</v>
      </c>
      <c r="S44" s="63">
        <f t="shared" si="2"/>
        <v>0</v>
      </c>
    </row>
    <row r="45" spans="1:19" s="77" customFormat="1" ht="12" x14ac:dyDescent="0.2">
      <c r="A45" s="85" t="s">
        <v>8669</v>
      </c>
      <c r="B45" s="85" t="s">
        <v>7962</v>
      </c>
      <c r="C45" s="88">
        <v>31</v>
      </c>
      <c r="D45" s="86" t="s">
        <v>7963</v>
      </c>
      <c r="E45" s="165" t="s">
        <v>19</v>
      </c>
      <c r="F45" s="74">
        <v>43145</v>
      </c>
      <c r="G45" s="95">
        <f>555.7+780.1+3090+2193.2</f>
        <v>6619</v>
      </c>
      <c r="H45" s="63"/>
      <c r="I45" s="63"/>
      <c r="J45" s="63"/>
      <c r="K45" s="133"/>
      <c r="L45" s="63"/>
      <c r="M45" s="63"/>
      <c r="N45" s="63"/>
      <c r="O45" s="63"/>
      <c r="P45" s="63"/>
      <c r="Q45" s="63">
        <f t="shared" si="0"/>
        <v>6619</v>
      </c>
      <c r="R45" s="63">
        <f t="shared" si="1"/>
        <v>0</v>
      </c>
      <c r="S45" s="63">
        <f t="shared" si="2"/>
        <v>6619</v>
      </c>
    </row>
    <row r="46" spans="1:19" s="77" customFormat="1" ht="12" x14ac:dyDescent="0.2">
      <c r="A46" s="85">
        <v>145994</v>
      </c>
      <c r="B46" s="85" t="s">
        <v>7964</v>
      </c>
      <c r="C46" s="88">
        <v>32</v>
      </c>
      <c r="D46" s="86" t="s">
        <v>7965</v>
      </c>
      <c r="E46" s="165" t="s">
        <v>4064</v>
      </c>
      <c r="F46" s="74">
        <v>43145</v>
      </c>
      <c r="G46" s="95">
        <f>234+12.5</f>
        <v>246.5</v>
      </c>
      <c r="H46" s="63"/>
      <c r="I46" s="63"/>
      <c r="J46" s="63"/>
      <c r="K46" s="133"/>
      <c r="L46" s="63"/>
      <c r="M46" s="63"/>
      <c r="N46" s="63"/>
      <c r="O46" s="63"/>
      <c r="P46" s="63"/>
      <c r="Q46" s="63">
        <f t="shared" si="0"/>
        <v>246.5</v>
      </c>
      <c r="R46" s="63">
        <f t="shared" si="1"/>
        <v>0</v>
      </c>
      <c r="S46" s="63">
        <f t="shared" si="2"/>
        <v>246.5</v>
      </c>
    </row>
    <row r="47" spans="1:19" s="77" customFormat="1" ht="12" x14ac:dyDescent="0.2">
      <c r="A47" s="85" t="s">
        <v>8670</v>
      </c>
      <c r="B47" s="85" t="s">
        <v>7966</v>
      </c>
      <c r="C47" s="88">
        <v>33</v>
      </c>
      <c r="D47" s="86" t="s">
        <v>7967</v>
      </c>
      <c r="E47" s="165" t="s">
        <v>19</v>
      </c>
      <c r="F47" s="74">
        <v>43150</v>
      </c>
      <c r="G47" s="95">
        <f>202.96+1.59</f>
        <v>204.55</v>
      </c>
      <c r="H47" s="63"/>
      <c r="I47" s="63"/>
      <c r="J47" s="63"/>
      <c r="K47" s="133"/>
      <c r="L47" s="63"/>
      <c r="M47" s="63"/>
      <c r="N47" s="63"/>
      <c r="O47" s="63"/>
      <c r="P47" s="63"/>
      <c r="Q47" s="63">
        <f t="shared" si="0"/>
        <v>204.55</v>
      </c>
      <c r="R47" s="63">
        <f t="shared" si="1"/>
        <v>0</v>
      </c>
      <c r="S47" s="63">
        <f t="shared" si="2"/>
        <v>204.55</v>
      </c>
    </row>
    <row r="48" spans="1:19" s="77" customFormat="1" ht="12" x14ac:dyDescent="0.2">
      <c r="A48" s="85">
        <v>3397</v>
      </c>
      <c r="B48" s="85" t="s">
        <v>7968</v>
      </c>
      <c r="C48" s="88">
        <v>34</v>
      </c>
      <c r="D48" s="86" t="s">
        <v>7969</v>
      </c>
      <c r="E48" s="165" t="s">
        <v>19</v>
      </c>
      <c r="F48" s="74">
        <v>43150</v>
      </c>
      <c r="G48" s="95">
        <f>41.3+138.56+172.96+163.34+57.23+122.55+558+206.18+41.3+58.56+416.25+128.48+41.3+228.77+41.3+185</f>
        <v>2601.0800000000004</v>
      </c>
      <c r="H48" s="63"/>
      <c r="I48" s="63">
        <f>850+850+930+930+590</f>
        <v>4150</v>
      </c>
      <c r="J48" s="63"/>
      <c r="K48" s="133"/>
      <c r="L48" s="63"/>
      <c r="M48" s="63"/>
      <c r="N48" s="63"/>
      <c r="O48" s="63"/>
      <c r="P48" s="63"/>
      <c r="Q48" s="63">
        <f t="shared" si="0"/>
        <v>6751.08</v>
      </c>
      <c r="R48" s="63">
        <f t="shared" si="1"/>
        <v>0</v>
      </c>
      <c r="S48" s="63">
        <f t="shared" si="2"/>
        <v>6751.08</v>
      </c>
    </row>
    <row r="49" spans="1:19" s="77" customFormat="1" ht="12" x14ac:dyDescent="0.2">
      <c r="A49" s="85" t="s">
        <v>8671</v>
      </c>
      <c r="B49" s="85" t="s">
        <v>7970</v>
      </c>
      <c r="C49" s="88">
        <v>35</v>
      </c>
      <c r="D49" s="86" t="s">
        <v>7961</v>
      </c>
      <c r="E49" s="165" t="s">
        <v>19</v>
      </c>
      <c r="F49" s="74">
        <v>43150</v>
      </c>
      <c r="G49" s="95">
        <f>400+275.72</f>
        <v>675.72</v>
      </c>
      <c r="H49" s="63"/>
      <c r="I49" s="63"/>
      <c r="J49" s="63"/>
      <c r="K49" s="133"/>
      <c r="L49" s="63"/>
      <c r="M49" s="63"/>
      <c r="N49" s="63"/>
      <c r="O49" s="63"/>
      <c r="P49" s="63"/>
      <c r="Q49" s="63">
        <f t="shared" si="0"/>
        <v>675.72</v>
      </c>
      <c r="R49" s="63">
        <f t="shared" si="1"/>
        <v>0</v>
      </c>
      <c r="S49" s="63">
        <f t="shared" si="2"/>
        <v>675.72</v>
      </c>
    </row>
    <row r="50" spans="1:19" s="77" customFormat="1" ht="12" x14ac:dyDescent="0.2">
      <c r="A50" s="85">
        <v>4898</v>
      </c>
      <c r="B50" s="85" t="s">
        <v>7971</v>
      </c>
      <c r="C50" s="88">
        <v>36</v>
      </c>
      <c r="D50" s="86" t="s">
        <v>7972</v>
      </c>
      <c r="E50" s="165" t="s">
        <v>7413</v>
      </c>
      <c r="F50" s="74">
        <v>43151</v>
      </c>
      <c r="G50" s="95">
        <v>241.57</v>
      </c>
      <c r="H50" s="63"/>
      <c r="I50" s="63"/>
      <c r="J50" s="63"/>
      <c r="K50" s="133"/>
      <c r="L50" s="63"/>
      <c r="M50" s="63"/>
      <c r="N50" s="63"/>
      <c r="O50" s="63"/>
      <c r="P50" s="63"/>
      <c r="Q50" s="63">
        <f t="shared" si="0"/>
        <v>241.57</v>
      </c>
      <c r="R50" s="63">
        <f t="shared" si="1"/>
        <v>0</v>
      </c>
      <c r="S50" s="63">
        <f t="shared" si="2"/>
        <v>241.57</v>
      </c>
    </row>
    <row r="51" spans="1:19" s="77" customFormat="1" ht="12" x14ac:dyDescent="0.2">
      <c r="A51" s="85">
        <v>5079</v>
      </c>
      <c r="B51" s="85" t="s">
        <v>7973</v>
      </c>
      <c r="C51" s="88">
        <v>37</v>
      </c>
      <c r="D51" s="86" t="s">
        <v>7974</v>
      </c>
      <c r="E51" s="165" t="s">
        <v>19</v>
      </c>
      <c r="F51" s="74">
        <v>43151</v>
      </c>
      <c r="G51" s="95">
        <v>182.66</v>
      </c>
      <c r="H51" s="63"/>
      <c r="I51" s="63"/>
      <c r="J51" s="63"/>
      <c r="K51" s="133"/>
      <c r="L51" s="63"/>
      <c r="M51" s="63"/>
      <c r="N51" s="63"/>
      <c r="O51" s="63"/>
      <c r="P51" s="63"/>
      <c r="Q51" s="63">
        <f t="shared" si="0"/>
        <v>182.66</v>
      </c>
      <c r="R51" s="63">
        <f t="shared" si="1"/>
        <v>0</v>
      </c>
      <c r="S51" s="63">
        <f t="shared" si="2"/>
        <v>182.66</v>
      </c>
    </row>
    <row r="52" spans="1:19" s="77" customFormat="1" ht="12" x14ac:dyDescent="0.2">
      <c r="A52" s="85">
        <v>4446</v>
      </c>
      <c r="B52" s="85" t="s">
        <v>7975</v>
      </c>
      <c r="C52" s="88">
        <v>38</v>
      </c>
      <c r="D52" s="73" t="s">
        <v>7976</v>
      </c>
      <c r="E52" s="165" t="s">
        <v>19</v>
      </c>
      <c r="F52" s="74">
        <v>43151</v>
      </c>
      <c r="G52" s="95">
        <f>154.32+41.3</f>
        <v>195.62</v>
      </c>
      <c r="H52" s="63"/>
      <c r="I52" s="63"/>
      <c r="J52" s="63"/>
      <c r="K52" s="133"/>
      <c r="L52" s="63"/>
      <c r="M52" s="63"/>
      <c r="N52" s="63"/>
      <c r="O52" s="63"/>
      <c r="P52" s="63"/>
      <c r="Q52" s="63">
        <f t="shared" si="0"/>
        <v>195.62</v>
      </c>
      <c r="R52" s="63">
        <f t="shared" si="1"/>
        <v>0</v>
      </c>
      <c r="S52" s="63">
        <f t="shared" si="2"/>
        <v>195.62</v>
      </c>
    </row>
    <row r="53" spans="1:19" s="77" customFormat="1" ht="12" x14ac:dyDescent="0.2">
      <c r="A53" s="85">
        <v>4446</v>
      </c>
      <c r="B53" s="85" t="s">
        <v>7975</v>
      </c>
      <c r="C53" s="88">
        <v>38</v>
      </c>
      <c r="D53" s="73" t="s">
        <v>7977</v>
      </c>
      <c r="E53" s="165" t="s">
        <v>19</v>
      </c>
      <c r="F53" s="74">
        <v>43151</v>
      </c>
      <c r="G53" s="95">
        <f>181.46+41.3</f>
        <v>222.76</v>
      </c>
      <c r="H53" s="63"/>
      <c r="I53" s="63"/>
      <c r="J53" s="63"/>
      <c r="K53" s="133"/>
      <c r="L53" s="63"/>
      <c r="M53" s="63"/>
      <c r="N53" s="63"/>
      <c r="O53" s="63"/>
      <c r="P53" s="63"/>
      <c r="Q53" s="63">
        <f t="shared" si="0"/>
        <v>222.76</v>
      </c>
      <c r="R53" s="63">
        <f t="shared" si="1"/>
        <v>0</v>
      </c>
      <c r="S53" s="63">
        <f t="shared" si="2"/>
        <v>222.76</v>
      </c>
    </row>
    <row r="54" spans="1:19" s="77" customFormat="1" ht="12" x14ac:dyDescent="0.2">
      <c r="A54" s="85">
        <v>4446</v>
      </c>
      <c r="B54" s="85" t="s">
        <v>7975</v>
      </c>
      <c r="C54" s="88">
        <v>38</v>
      </c>
      <c r="D54" s="73" t="s">
        <v>7978</v>
      </c>
      <c r="E54" s="165" t="s">
        <v>19</v>
      </c>
      <c r="F54" s="74">
        <v>43151</v>
      </c>
      <c r="G54" s="95">
        <f>140.61+71.24</f>
        <v>211.85000000000002</v>
      </c>
      <c r="H54" s="63"/>
      <c r="I54" s="63"/>
      <c r="J54" s="63"/>
      <c r="K54" s="133"/>
      <c r="L54" s="63"/>
      <c r="M54" s="63"/>
      <c r="N54" s="63"/>
      <c r="O54" s="63"/>
      <c r="P54" s="63"/>
      <c r="Q54" s="63">
        <f t="shared" si="0"/>
        <v>211.85000000000002</v>
      </c>
      <c r="R54" s="63">
        <f t="shared" si="1"/>
        <v>0</v>
      </c>
      <c r="S54" s="63">
        <f t="shared" si="2"/>
        <v>211.85000000000002</v>
      </c>
    </row>
    <row r="55" spans="1:19" s="77" customFormat="1" ht="12" x14ac:dyDescent="0.2">
      <c r="A55" s="85">
        <v>4446</v>
      </c>
      <c r="B55" s="85" t="s">
        <v>7975</v>
      </c>
      <c r="C55" s="88">
        <v>38</v>
      </c>
      <c r="D55" s="73" t="s">
        <v>7979</v>
      </c>
      <c r="E55" s="165" t="s">
        <v>19</v>
      </c>
      <c r="F55" s="74">
        <v>43151</v>
      </c>
      <c r="G55" s="95">
        <f>281.12+156.66+179.27</f>
        <v>617.04999999999995</v>
      </c>
      <c r="H55" s="63"/>
      <c r="I55" s="63"/>
      <c r="J55" s="63"/>
      <c r="K55" s="133"/>
      <c r="L55" s="63"/>
      <c r="M55" s="63"/>
      <c r="N55" s="63"/>
      <c r="O55" s="63"/>
      <c r="P55" s="63"/>
      <c r="Q55" s="63">
        <f t="shared" si="0"/>
        <v>617.04999999999995</v>
      </c>
      <c r="R55" s="63">
        <f t="shared" si="1"/>
        <v>0</v>
      </c>
      <c r="S55" s="63">
        <f t="shared" si="2"/>
        <v>617.04999999999995</v>
      </c>
    </row>
    <row r="56" spans="1:19" s="77" customFormat="1" ht="12" x14ac:dyDescent="0.2">
      <c r="A56" s="85">
        <v>4446</v>
      </c>
      <c r="B56" s="85" t="s">
        <v>7975</v>
      </c>
      <c r="C56" s="88">
        <v>38</v>
      </c>
      <c r="D56" s="73" t="s">
        <v>7980</v>
      </c>
      <c r="E56" s="165" t="s">
        <v>19</v>
      </c>
      <c r="F56" s="74">
        <v>43151</v>
      </c>
      <c r="G56" s="95">
        <f>327.76+41.3+69.51+41.3+3661.72+559.62+41.3+37.44</f>
        <v>4779.95</v>
      </c>
      <c r="H56" s="63"/>
      <c r="I56" s="63"/>
      <c r="J56" s="63"/>
      <c r="K56" s="133"/>
      <c r="L56" s="63"/>
      <c r="M56" s="63"/>
      <c r="N56" s="63"/>
      <c r="O56" s="63"/>
      <c r="P56" s="63"/>
      <c r="Q56" s="63">
        <f t="shared" si="0"/>
        <v>4779.95</v>
      </c>
      <c r="R56" s="63">
        <f t="shared" si="1"/>
        <v>0</v>
      </c>
      <c r="S56" s="63">
        <f t="shared" si="2"/>
        <v>4779.95</v>
      </c>
    </row>
    <row r="57" spans="1:19" s="77" customFormat="1" ht="12" x14ac:dyDescent="0.2">
      <c r="A57" s="85">
        <v>4446</v>
      </c>
      <c r="B57" s="85" t="s">
        <v>7975</v>
      </c>
      <c r="C57" s="88">
        <v>38</v>
      </c>
      <c r="D57" s="73" t="s">
        <v>7981</v>
      </c>
      <c r="E57" s="165" t="s">
        <v>19</v>
      </c>
      <c r="F57" s="74">
        <v>43151</v>
      </c>
      <c r="G57" s="95">
        <v>81.22</v>
      </c>
      <c r="H57" s="63"/>
      <c r="I57" s="63"/>
      <c r="J57" s="63"/>
      <c r="K57" s="133"/>
      <c r="L57" s="63"/>
      <c r="M57" s="63"/>
      <c r="N57" s="63"/>
      <c r="O57" s="63"/>
      <c r="P57" s="63"/>
      <c r="Q57" s="63">
        <f t="shared" si="0"/>
        <v>81.22</v>
      </c>
      <c r="R57" s="63">
        <f t="shared" si="1"/>
        <v>0</v>
      </c>
      <c r="S57" s="63">
        <f t="shared" si="2"/>
        <v>81.22</v>
      </c>
    </row>
    <row r="58" spans="1:19" s="77" customFormat="1" ht="12" x14ac:dyDescent="0.2">
      <c r="A58" s="68">
        <v>4505</v>
      </c>
      <c r="B58" s="74" t="s">
        <v>7982</v>
      </c>
      <c r="C58" s="88">
        <v>39</v>
      </c>
      <c r="D58" s="73" t="s">
        <v>8082</v>
      </c>
      <c r="E58" s="165" t="s">
        <v>19</v>
      </c>
      <c r="F58" s="74">
        <v>43151</v>
      </c>
      <c r="G58" s="95">
        <f>300+246.81</f>
        <v>546.80999999999995</v>
      </c>
      <c r="H58" s="63"/>
      <c r="I58" s="63"/>
      <c r="J58" s="63"/>
      <c r="K58" s="133"/>
      <c r="L58" s="63"/>
      <c r="M58" s="63"/>
      <c r="N58" s="63"/>
      <c r="O58" s="63"/>
      <c r="P58" s="63"/>
      <c r="Q58" s="63">
        <f t="shared" si="0"/>
        <v>546.80999999999995</v>
      </c>
      <c r="R58" s="63">
        <f t="shared" si="1"/>
        <v>0</v>
      </c>
      <c r="S58" s="63">
        <f t="shared" si="2"/>
        <v>546.80999999999995</v>
      </c>
    </row>
    <row r="59" spans="1:19" s="77" customFormat="1" ht="12" x14ac:dyDescent="0.2">
      <c r="A59" s="68">
        <v>5733</v>
      </c>
      <c r="B59" s="68" t="s">
        <v>7983</v>
      </c>
      <c r="C59" s="88">
        <v>40</v>
      </c>
      <c r="D59" s="73" t="s">
        <v>7984</v>
      </c>
      <c r="E59" s="165" t="s">
        <v>19</v>
      </c>
      <c r="F59" s="74">
        <v>43151</v>
      </c>
      <c r="G59" s="95">
        <f>239.21+47.1+27.2+35</f>
        <v>348.51</v>
      </c>
      <c r="H59" s="63"/>
      <c r="I59" s="63"/>
      <c r="J59" s="63"/>
      <c r="K59" s="133"/>
      <c r="L59" s="63"/>
      <c r="M59" s="63"/>
      <c r="N59" s="63"/>
      <c r="O59" s="63"/>
      <c r="P59" s="63"/>
      <c r="Q59" s="63">
        <f t="shared" si="0"/>
        <v>348.51</v>
      </c>
      <c r="R59" s="63">
        <f t="shared" si="1"/>
        <v>0</v>
      </c>
      <c r="S59" s="63">
        <f t="shared" si="2"/>
        <v>348.51</v>
      </c>
    </row>
    <row r="60" spans="1:19" s="77" customFormat="1" ht="12" x14ac:dyDescent="0.2">
      <c r="A60" s="68">
        <v>9581</v>
      </c>
      <c r="B60" s="68" t="s">
        <v>7985</v>
      </c>
      <c r="C60" s="88">
        <v>41</v>
      </c>
      <c r="D60" s="73" t="s">
        <v>7986</v>
      </c>
      <c r="E60" s="165" t="s">
        <v>19</v>
      </c>
      <c r="F60" s="74">
        <v>43154</v>
      </c>
      <c r="G60" s="95">
        <v>78.66</v>
      </c>
      <c r="H60" s="63"/>
      <c r="I60" s="63"/>
      <c r="J60" s="63"/>
      <c r="K60" s="133"/>
      <c r="L60" s="63"/>
      <c r="M60" s="63"/>
      <c r="N60" s="63"/>
      <c r="O60" s="63"/>
      <c r="P60" s="63"/>
      <c r="Q60" s="63">
        <f t="shared" si="0"/>
        <v>78.66</v>
      </c>
      <c r="R60" s="63">
        <f t="shared" si="1"/>
        <v>0</v>
      </c>
      <c r="S60" s="63">
        <f t="shared" si="2"/>
        <v>78.66</v>
      </c>
    </row>
    <row r="61" spans="1:19" s="77" customFormat="1" ht="12" x14ac:dyDescent="0.2">
      <c r="A61" s="68">
        <v>4682</v>
      </c>
      <c r="B61" s="68" t="s">
        <v>5779</v>
      </c>
      <c r="C61" s="88">
        <v>42</v>
      </c>
      <c r="D61" s="73" t="s">
        <v>7987</v>
      </c>
      <c r="E61" s="165" t="s">
        <v>19</v>
      </c>
      <c r="F61" s="74">
        <v>43154</v>
      </c>
      <c r="G61" s="95">
        <v>83.66</v>
      </c>
      <c r="H61" s="63"/>
      <c r="I61" s="63"/>
      <c r="J61" s="63"/>
      <c r="K61" s="133"/>
      <c r="L61" s="63"/>
      <c r="M61" s="63"/>
      <c r="N61" s="63"/>
      <c r="O61" s="63"/>
      <c r="P61" s="63"/>
      <c r="Q61" s="63">
        <f t="shared" si="0"/>
        <v>83.66</v>
      </c>
      <c r="R61" s="63">
        <f t="shared" si="1"/>
        <v>0</v>
      </c>
      <c r="S61" s="63">
        <f t="shared" si="2"/>
        <v>83.66</v>
      </c>
    </row>
    <row r="62" spans="1:19" s="77" customFormat="1" ht="12" x14ac:dyDescent="0.2">
      <c r="A62" s="68">
        <v>3257</v>
      </c>
      <c r="B62" s="68" t="s">
        <v>7988</v>
      </c>
      <c r="C62" s="88">
        <v>43</v>
      </c>
      <c r="D62" s="73" t="s">
        <v>7989</v>
      </c>
      <c r="E62" s="165" t="s">
        <v>19</v>
      </c>
      <c r="F62" s="74">
        <v>43156</v>
      </c>
      <c r="G62" s="95">
        <v>139.69</v>
      </c>
      <c r="H62" s="63"/>
      <c r="I62" s="63"/>
      <c r="J62" s="63"/>
      <c r="K62" s="133"/>
      <c r="L62" s="63"/>
      <c r="M62" s="63"/>
      <c r="N62" s="63"/>
      <c r="O62" s="63"/>
      <c r="P62" s="63"/>
      <c r="Q62" s="63">
        <f t="shared" si="0"/>
        <v>139.69</v>
      </c>
      <c r="R62" s="63">
        <f t="shared" si="1"/>
        <v>0</v>
      </c>
      <c r="S62" s="63">
        <f t="shared" si="2"/>
        <v>139.69</v>
      </c>
    </row>
    <row r="63" spans="1:19" s="77" customFormat="1" ht="12" x14ac:dyDescent="0.2">
      <c r="A63" s="68">
        <v>3257</v>
      </c>
      <c r="B63" s="68" t="s">
        <v>7988</v>
      </c>
      <c r="C63" s="88">
        <v>43</v>
      </c>
      <c r="D63" s="73" t="s">
        <v>7990</v>
      </c>
      <c r="E63" s="165" t="s">
        <v>19</v>
      </c>
      <c r="F63" s="74">
        <v>43156</v>
      </c>
      <c r="G63" s="95">
        <v>122.7</v>
      </c>
      <c r="H63" s="63"/>
      <c r="I63" s="63"/>
      <c r="J63" s="63"/>
      <c r="K63" s="133"/>
      <c r="L63" s="63"/>
      <c r="M63" s="63"/>
      <c r="N63" s="63"/>
      <c r="O63" s="63"/>
      <c r="P63" s="63"/>
      <c r="Q63" s="63">
        <f t="shared" si="0"/>
        <v>122.7</v>
      </c>
      <c r="R63" s="63">
        <f t="shared" si="1"/>
        <v>0</v>
      </c>
      <c r="S63" s="63">
        <f t="shared" si="2"/>
        <v>122.7</v>
      </c>
    </row>
    <row r="64" spans="1:19" s="77" customFormat="1" ht="12" x14ac:dyDescent="0.2">
      <c r="A64" s="68" t="s">
        <v>8672</v>
      </c>
      <c r="B64" s="68" t="s">
        <v>7991</v>
      </c>
      <c r="C64" s="88">
        <v>44</v>
      </c>
      <c r="D64" s="73" t="s">
        <v>7992</v>
      </c>
      <c r="E64" s="165" t="s">
        <v>19</v>
      </c>
      <c r="F64" s="74">
        <v>43156</v>
      </c>
      <c r="G64" s="95">
        <f>14488.56+271.3+138</f>
        <v>14897.859999999999</v>
      </c>
      <c r="H64" s="63"/>
      <c r="I64" s="63"/>
      <c r="J64" s="63"/>
      <c r="K64" s="133"/>
      <c r="L64" s="63"/>
      <c r="M64" s="63"/>
      <c r="N64" s="63"/>
      <c r="O64" s="63"/>
      <c r="P64" s="63"/>
      <c r="Q64" s="63">
        <f t="shared" si="0"/>
        <v>14897.859999999999</v>
      </c>
      <c r="R64" s="63">
        <f t="shared" si="1"/>
        <v>0</v>
      </c>
      <c r="S64" s="63">
        <f t="shared" si="2"/>
        <v>14897.859999999999</v>
      </c>
    </row>
    <row r="65" spans="1:19" s="77" customFormat="1" ht="12" x14ac:dyDescent="0.2">
      <c r="A65" s="68">
        <v>4988</v>
      </c>
      <c r="B65" s="68" t="s">
        <v>7993</v>
      </c>
      <c r="C65" s="88">
        <v>45</v>
      </c>
      <c r="D65" s="73" t="s">
        <v>7960</v>
      </c>
      <c r="E65" s="165" t="s">
        <v>19</v>
      </c>
      <c r="F65" s="74">
        <v>43159</v>
      </c>
      <c r="G65" s="95">
        <f>5048.43+290+41.3+50.24+200.47+433.14+165.97+139.91+41.3+260+335+110</f>
        <v>7115.7600000000011</v>
      </c>
      <c r="H65" s="63"/>
      <c r="I65" s="63">
        <v>4150</v>
      </c>
      <c r="J65" s="63"/>
      <c r="K65" s="133"/>
      <c r="L65" s="63"/>
      <c r="M65" s="63"/>
      <c r="N65" s="63"/>
      <c r="O65" s="63"/>
      <c r="P65" s="63"/>
      <c r="Q65" s="63">
        <f t="shared" si="0"/>
        <v>11265.760000000002</v>
      </c>
      <c r="R65" s="63">
        <f t="shared" si="1"/>
        <v>0</v>
      </c>
      <c r="S65" s="63">
        <f t="shared" si="2"/>
        <v>11265.760000000002</v>
      </c>
    </row>
    <row r="66" spans="1:19" s="77" customFormat="1" ht="12" x14ac:dyDescent="0.2">
      <c r="A66" s="68">
        <v>5094</v>
      </c>
      <c r="B66" s="68" t="s">
        <v>8003</v>
      </c>
      <c r="C66" s="88">
        <v>46</v>
      </c>
      <c r="D66" s="73" t="s">
        <v>7994</v>
      </c>
      <c r="E66" s="165" t="s">
        <v>19</v>
      </c>
      <c r="F66" s="74">
        <v>43164</v>
      </c>
      <c r="G66" s="95">
        <f>526.98+177.45</f>
        <v>704.43000000000006</v>
      </c>
      <c r="H66" s="63"/>
      <c r="I66" s="63"/>
      <c r="J66" s="63"/>
      <c r="K66" s="133"/>
      <c r="L66" s="63"/>
      <c r="M66" s="63"/>
      <c r="N66" s="63"/>
      <c r="O66" s="63"/>
      <c r="P66" s="63"/>
      <c r="Q66" s="63">
        <f t="shared" si="0"/>
        <v>704.43000000000006</v>
      </c>
      <c r="R66" s="63">
        <f t="shared" si="1"/>
        <v>0</v>
      </c>
      <c r="S66" s="63">
        <f t="shared" si="2"/>
        <v>704.43000000000006</v>
      </c>
    </row>
    <row r="67" spans="1:19" s="77" customFormat="1" ht="12" x14ac:dyDescent="0.2">
      <c r="A67" s="68">
        <v>14751</v>
      </c>
      <c r="B67" s="68" t="s">
        <v>8004</v>
      </c>
      <c r="C67" s="88">
        <v>47</v>
      </c>
      <c r="D67" s="73" t="s">
        <v>7995</v>
      </c>
      <c r="E67" s="165" t="s">
        <v>19</v>
      </c>
      <c r="F67" s="74">
        <v>43166</v>
      </c>
      <c r="G67" s="95">
        <v>302.66000000000003</v>
      </c>
      <c r="H67" s="63"/>
      <c r="I67" s="63"/>
      <c r="J67" s="63"/>
      <c r="K67" s="133"/>
      <c r="L67" s="63"/>
      <c r="M67" s="63"/>
      <c r="N67" s="63"/>
      <c r="O67" s="63"/>
      <c r="P67" s="63"/>
      <c r="Q67" s="63">
        <f t="shared" si="0"/>
        <v>302.66000000000003</v>
      </c>
      <c r="R67" s="63">
        <f t="shared" si="1"/>
        <v>0</v>
      </c>
      <c r="S67" s="63">
        <f t="shared" si="2"/>
        <v>302.66000000000003</v>
      </c>
    </row>
    <row r="68" spans="1:19" s="77" customFormat="1" ht="12" x14ac:dyDescent="0.2">
      <c r="A68" s="68" t="s">
        <v>8673</v>
      </c>
      <c r="B68" s="68" t="s">
        <v>8005</v>
      </c>
      <c r="C68" s="88">
        <v>48</v>
      </c>
      <c r="D68" s="73" t="s">
        <v>7996</v>
      </c>
      <c r="E68" s="165" t="s">
        <v>19</v>
      </c>
      <c r="F68" s="74">
        <v>43166</v>
      </c>
      <c r="G68" s="95">
        <v>193.05</v>
      </c>
      <c r="H68" s="63"/>
      <c r="I68" s="63"/>
      <c r="J68" s="63"/>
      <c r="K68" s="133"/>
      <c r="L68" s="63"/>
      <c r="M68" s="63"/>
      <c r="N68" s="63"/>
      <c r="O68" s="63"/>
      <c r="P68" s="63"/>
      <c r="Q68" s="63">
        <f t="shared" si="0"/>
        <v>193.05</v>
      </c>
      <c r="R68" s="63">
        <f t="shared" si="1"/>
        <v>0</v>
      </c>
      <c r="S68" s="63">
        <f t="shared" si="2"/>
        <v>193.05</v>
      </c>
    </row>
    <row r="69" spans="1:19" s="77" customFormat="1" ht="12" x14ac:dyDescent="0.2">
      <c r="A69" s="68">
        <v>4267</v>
      </c>
      <c r="B69" s="68" t="s">
        <v>8006</v>
      </c>
      <c r="C69" s="88">
        <v>49</v>
      </c>
      <c r="D69" s="73" t="s">
        <v>7997</v>
      </c>
      <c r="E69" s="165" t="s">
        <v>19</v>
      </c>
      <c r="F69" s="74">
        <v>43166</v>
      </c>
      <c r="G69" s="95">
        <f>650.69+41.3+41.3+41.3</f>
        <v>774.58999999999992</v>
      </c>
      <c r="H69" s="63"/>
      <c r="I69" s="63"/>
      <c r="J69" s="63"/>
      <c r="K69" s="133"/>
      <c r="L69" s="63"/>
      <c r="M69" s="63"/>
      <c r="N69" s="63"/>
      <c r="O69" s="63"/>
      <c r="P69" s="63"/>
      <c r="Q69" s="63">
        <f t="shared" si="0"/>
        <v>774.58999999999992</v>
      </c>
      <c r="R69" s="63">
        <f t="shared" si="1"/>
        <v>0</v>
      </c>
      <c r="S69" s="63">
        <f t="shared" si="2"/>
        <v>774.58999999999992</v>
      </c>
    </row>
    <row r="70" spans="1:19" s="77" customFormat="1" ht="12" x14ac:dyDescent="0.2">
      <c r="A70" s="68">
        <v>9058</v>
      </c>
      <c r="B70" s="68" t="s">
        <v>8007</v>
      </c>
      <c r="C70" s="88">
        <v>50</v>
      </c>
      <c r="D70" s="73" t="s">
        <v>7998</v>
      </c>
      <c r="E70" s="165" t="s">
        <v>19</v>
      </c>
      <c r="F70" s="74">
        <v>43169</v>
      </c>
      <c r="G70" s="95">
        <v>48</v>
      </c>
      <c r="H70" s="63"/>
      <c r="I70" s="63"/>
      <c r="J70" s="63"/>
      <c r="K70" s="133"/>
      <c r="L70" s="63"/>
      <c r="M70" s="63"/>
      <c r="N70" s="63"/>
      <c r="O70" s="63"/>
      <c r="P70" s="63"/>
      <c r="Q70" s="63">
        <f t="shared" si="0"/>
        <v>48</v>
      </c>
      <c r="R70" s="63">
        <f t="shared" si="1"/>
        <v>0</v>
      </c>
      <c r="S70" s="63">
        <f t="shared" si="2"/>
        <v>48</v>
      </c>
    </row>
    <row r="71" spans="1:19" s="77" customFormat="1" ht="12" x14ac:dyDescent="0.2">
      <c r="A71" s="68">
        <v>9058</v>
      </c>
      <c r="B71" s="68" t="s">
        <v>8007</v>
      </c>
      <c r="C71" s="88">
        <v>50</v>
      </c>
      <c r="D71" s="73" t="s">
        <v>7999</v>
      </c>
      <c r="E71" s="165" t="s">
        <v>19</v>
      </c>
      <c r="F71" s="74">
        <v>43169</v>
      </c>
      <c r="G71" s="95">
        <v>48.66</v>
      </c>
      <c r="H71" s="63"/>
      <c r="I71" s="63"/>
      <c r="J71" s="63"/>
      <c r="K71" s="133"/>
      <c r="L71" s="63"/>
      <c r="M71" s="63"/>
      <c r="N71" s="63"/>
      <c r="O71" s="63"/>
      <c r="P71" s="63"/>
      <c r="Q71" s="63">
        <f t="shared" si="0"/>
        <v>48.66</v>
      </c>
      <c r="R71" s="63">
        <f t="shared" si="1"/>
        <v>0</v>
      </c>
      <c r="S71" s="63">
        <f t="shared" si="2"/>
        <v>48.66</v>
      </c>
    </row>
    <row r="72" spans="1:19" s="77" customFormat="1" ht="12" x14ac:dyDescent="0.2">
      <c r="A72" s="68">
        <v>9311</v>
      </c>
      <c r="B72" s="68" t="s">
        <v>8008</v>
      </c>
      <c r="C72" s="88">
        <v>51</v>
      </c>
      <c r="D72" s="73" t="s">
        <v>9174</v>
      </c>
      <c r="E72" s="165" t="s">
        <v>19</v>
      </c>
      <c r="F72" s="74">
        <v>43170</v>
      </c>
      <c r="G72" s="95">
        <f>400+300+238+238+303.13</f>
        <v>1479.13</v>
      </c>
      <c r="H72" s="63"/>
      <c r="I72" s="63">
        <v>850</v>
      </c>
      <c r="J72" s="63"/>
      <c r="K72" s="133"/>
      <c r="L72" s="63"/>
      <c r="M72" s="63"/>
      <c r="N72" s="63"/>
      <c r="O72" s="63"/>
      <c r="P72" s="63"/>
      <c r="Q72" s="63">
        <f t="shared" ref="Q72:Q135" si="3">+G72+I72+K72+M72+O72</f>
        <v>2329.13</v>
      </c>
      <c r="R72" s="63">
        <f t="shared" ref="R72:R135" si="4">+H72+J72+L72+N72+P72</f>
        <v>0</v>
      </c>
      <c r="S72" s="63">
        <f t="shared" ref="S72:S135" si="5">+Q72+R72</f>
        <v>2329.13</v>
      </c>
    </row>
    <row r="73" spans="1:19" s="77" customFormat="1" ht="12" x14ac:dyDescent="0.2">
      <c r="A73" s="68">
        <v>6210</v>
      </c>
      <c r="B73" s="68" t="s">
        <v>8009</v>
      </c>
      <c r="C73" s="88">
        <v>52</v>
      </c>
      <c r="D73" s="73" t="s">
        <v>8000</v>
      </c>
      <c r="E73" s="165" t="s">
        <v>19</v>
      </c>
      <c r="F73" s="74">
        <v>43170</v>
      </c>
      <c r="G73" s="95">
        <f>558+401.9+295+190+376.1</f>
        <v>1821</v>
      </c>
      <c r="H73" s="63"/>
      <c r="I73" s="63">
        <v>2480</v>
      </c>
      <c r="J73" s="63"/>
      <c r="K73" s="133"/>
      <c r="L73" s="63"/>
      <c r="M73" s="63"/>
      <c r="N73" s="63"/>
      <c r="O73" s="63"/>
      <c r="P73" s="63"/>
      <c r="Q73" s="63">
        <f t="shared" si="3"/>
        <v>4301</v>
      </c>
      <c r="R73" s="63">
        <f t="shared" si="4"/>
        <v>0</v>
      </c>
      <c r="S73" s="63">
        <f t="shared" si="5"/>
        <v>4301</v>
      </c>
    </row>
    <row r="74" spans="1:19" s="77" customFormat="1" ht="12" x14ac:dyDescent="0.2">
      <c r="A74" s="68">
        <v>6782</v>
      </c>
      <c r="B74" s="68" t="s">
        <v>7747</v>
      </c>
      <c r="C74" s="88">
        <v>53</v>
      </c>
      <c r="D74" s="73" t="s">
        <v>8001</v>
      </c>
      <c r="E74" s="165" t="s">
        <v>19</v>
      </c>
      <c r="F74" s="74">
        <v>43171</v>
      </c>
      <c r="G74" s="95">
        <v>76.14</v>
      </c>
      <c r="H74" s="63"/>
      <c r="I74" s="63"/>
      <c r="J74" s="63"/>
      <c r="K74" s="133"/>
      <c r="L74" s="63"/>
      <c r="M74" s="63"/>
      <c r="N74" s="63"/>
      <c r="O74" s="63"/>
      <c r="P74" s="63"/>
      <c r="Q74" s="63">
        <f t="shared" si="3"/>
        <v>76.14</v>
      </c>
      <c r="R74" s="63">
        <f t="shared" si="4"/>
        <v>0</v>
      </c>
      <c r="S74" s="63">
        <f t="shared" si="5"/>
        <v>76.14</v>
      </c>
    </row>
    <row r="75" spans="1:19" s="77" customFormat="1" ht="12" x14ac:dyDescent="0.2">
      <c r="A75" s="68">
        <v>4399</v>
      </c>
      <c r="B75" s="68" t="s">
        <v>8010</v>
      </c>
      <c r="C75" s="88">
        <v>54</v>
      </c>
      <c r="D75" s="73" t="s">
        <v>8002</v>
      </c>
      <c r="E75" s="165" t="s">
        <v>19</v>
      </c>
      <c r="F75" s="74">
        <v>43174</v>
      </c>
      <c r="G75" s="95">
        <f>630+4200+3893.52+1152.3+3860.2+177.5</f>
        <v>13913.52</v>
      </c>
      <c r="H75" s="63"/>
      <c r="I75" s="63">
        <v>4150</v>
      </c>
      <c r="J75" s="63"/>
      <c r="K75" s="133"/>
      <c r="L75" s="63"/>
      <c r="M75" s="63"/>
      <c r="N75" s="63"/>
      <c r="O75" s="63"/>
      <c r="P75" s="63"/>
      <c r="Q75" s="63">
        <f t="shared" si="3"/>
        <v>18063.52</v>
      </c>
      <c r="R75" s="63">
        <f t="shared" si="4"/>
        <v>0</v>
      </c>
      <c r="S75" s="63">
        <f t="shared" si="5"/>
        <v>18063.52</v>
      </c>
    </row>
    <row r="76" spans="1:19" s="77" customFormat="1" ht="12" x14ac:dyDescent="0.2">
      <c r="A76" s="68">
        <v>12872</v>
      </c>
      <c r="B76" s="68" t="s">
        <v>8011</v>
      </c>
      <c r="C76" s="88">
        <v>55</v>
      </c>
      <c r="D76" s="73" t="s">
        <v>8012</v>
      </c>
      <c r="E76" s="165" t="s">
        <v>19</v>
      </c>
      <c r="F76" s="74">
        <v>43178</v>
      </c>
      <c r="G76" s="95">
        <v>119.5</v>
      </c>
      <c r="H76" s="63"/>
      <c r="I76" s="63"/>
      <c r="J76" s="63"/>
      <c r="K76" s="133"/>
      <c r="L76" s="63"/>
      <c r="M76" s="63"/>
      <c r="N76" s="63"/>
      <c r="O76" s="63"/>
      <c r="P76" s="63"/>
      <c r="Q76" s="63">
        <f t="shared" si="3"/>
        <v>119.5</v>
      </c>
      <c r="R76" s="63">
        <f t="shared" si="4"/>
        <v>0</v>
      </c>
      <c r="S76" s="63">
        <f t="shared" si="5"/>
        <v>119.5</v>
      </c>
    </row>
    <row r="77" spans="1:19" s="77" customFormat="1" ht="12" x14ac:dyDescent="0.2">
      <c r="A77" s="68">
        <v>12872</v>
      </c>
      <c r="B77" s="68" t="s">
        <v>8011</v>
      </c>
      <c r="C77" s="88">
        <v>55</v>
      </c>
      <c r="D77" s="73" t="s">
        <v>8013</v>
      </c>
      <c r="E77" s="165" t="s">
        <v>19</v>
      </c>
      <c r="F77" s="74">
        <v>43178</v>
      </c>
      <c r="G77" s="95">
        <v>206.47</v>
      </c>
      <c r="H77" s="63"/>
      <c r="I77" s="63"/>
      <c r="J77" s="63"/>
      <c r="K77" s="133"/>
      <c r="L77" s="63"/>
      <c r="M77" s="63"/>
      <c r="N77" s="63"/>
      <c r="O77" s="63"/>
      <c r="P77" s="63"/>
      <c r="Q77" s="63">
        <f t="shared" si="3"/>
        <v>206.47</v>
      </c>
      <c r="R77" s="63">
        <f t="shared" si="4"/>
        <v>0</v>
      </c>
      <c r="S77" s="63">
        <f t="shared" si="5"/>
        <v>206.47</v>
      </c>
    </row>
    <row r="78" spans="1:19" s="77" customFormat="1" ht="12" x14ac:dyDescent="0.2">
      <c r="A78" s="68">
        <v>4286</v>
      </c>
      <c r="B78" s="68" t="s">
        <v>8014</v>
      </c>
      <c r="C78" s="88">
        <v>56</v>
      </c>
      <c r="D78" s="73" t="s">
        <v>8016</v>
      </c>
      <c r="E78" s="165" t="s">
        <v>19</v>
      </c>
      <c r="F78" s="74">
        <v>43179</v>
      </c>
      <c r="G78" s="95">
        <f>238+411.98</f>
        <v>649.98</v>
      </c>
      <c r="H78" s="63"/>
      <c r="I78" s="63"/>
      <c r="J78" s="63"/>
      <c r="K78" s="133"/>
      <c r="L78" s="63"/>
      <c r="M78" s="63"/>
      <c r="N78" s="63"/>
      <c r="O78" s="63"/>
      <c r="P78" s="63"/>
      <c r="Q78" s="63">
        <f t="shared" si="3"/>
        <v>649.98</v>
      </c>
      <c r="R78" s="63">
        <f t="shared" si="4"/>
        <v>0</v>
      </c>
      <c r="S78" s="63">
        <f t="shared" si="5"/>
        <v>649.98</v>
      </c>
    </row>
    <row r="79" spans="1:19" s="77" customFormat="1" ht="12" x14ac:dyDescent="0.2">
      <c r="A79" s="68">
        <v>5386</v>
      </c>
      <c r="B79" s="68" t="s">
        <v>3455</v>
      </c>
      <c r="C79" s="88">
        <v>57</v>
      </c>
      <c r="D79" s="73" t="s">
        <v>8017</v>
      </c>
      <c r="E79" s="165" t="s">
        <v>19</v>
      </c>
      <c r="F79" s="74">
        <v>43180</v>
      </c>
      <c r="G79" s="95">
        <f>185.26+0.53</f>
        <v>185.79</v>
      </c>
      <c r="H79" s="63"/>
      <c r="I79" s="63"/>
      <c r="J79" s="63"/>
      <c r="K79" s="133"/>
      <c r="L79" s="63"/>
      <c r="M79" s="63"/>
      <c r="N79" s="63"/>
      <c r="O79" s="63"/>
      <c r="P79" s="63"/>
      <c r="Q79" s="63">
        <f t="shared" si="3"/>
        <v>185.79</v>
      </c>
      <c r="R79" s="63">
        <f t="shared" si="4"/>
        <v>0</v>
      </c>
      <c r="S79" s="63">
        <f t="shared" si="5"/>
        <v>185.79</v>
      </c>
    </row>
    <row r="80" spans="1:19" s="77" customFormat="1" ht="12" x14ac:dyDescent="0.2">
      <c r="A80" s="68">
        <v>5386</v>
      </c>
      <c r="B80" s="68" t="s">
        <v>3455</v>
      </c>
      <c r="C80" s="88">
        <v>57</v>
      </c>
      <c r="D80" s="73" t="s">
        <v>8018</v>
      </c>
      <c r="E80" s="165" t="s">
        <v>19</v>
      </c>
      <c r="F80" s="74">
        <v>43180</v>
      </c>
      <c r="G80" s="95">
        <f>92.04+1.53</f>
        <v>93.570000000000007</v>
      </c>
      <c r="H80" s="63"/>
      <c r="I80" s="63"/>
      <c r="J80" s="63"/>
      <c r="K80" s="133"/>
      <c r="L80" s="63"/>
      <c r="M80" s="63"/>
      <c r="N80" s="63"/>
      <c r="O80" s="63"/>
      <c r="P80" s="63"/>
      <c r="Q80" s="63">
        <f t="shared" si="3"/>
        <v>93.570000000000007</v>
      </c>
      <c r="R80" s="63">
        <f t="shared" si="4"/>
        <v>0</v>
      </c>
      <c r="S80" s="63">
        <f t="shared" si="5"/>
        <v>93.570000000000007</v>
      </c>
    </row>
    <row r="81" spans="1:19" s="77" customFormat="1" ht="12" x14ac:dyDescent="0.2">
      <c r="A81" s="68">
        <v>6872</v>
      </c>
      <c r="B81" s="68" t="s">
        <v>8015</v>
      </c>
      <c r="C81" s="88">
        <v>58</v>
      </c>
      <c r="D81" s="73" t="s">
        <v>8019</v>
      </c>
      <c r="E81" s="165" t="s">
        <v>19</v>
      </c>
      <c r="F81" s="74">
        <v>43181</v>
      </c>
      <c r="G81" s="95">
        <f>238+145.53+75+175.6</f>
        <v>634.13</v>
      </c>
      <c r="H81" s="63"/>
      <c r="I81" s="63"/>
      <c r="J81" s="63"/>
      <c r="K81" s="133"/>
      <c r="L81" s="63"/>
      <c r="M81" s="63"/>
      <c r="N81" s="63"/>
      <c r="O81" s="63"/>
      <c r="P81" s="63"/>
      <c r="Q81" s="63">
        <f t="shared" si="3"/>
        <v>634.13</v>
      </c>
      <c r="R81" s="63">
        <f t="shared" si="4"/>
        <v>0</v>
      </c>
      <c r="S81" s="63">
        <f t="shared" si="5"/>
        <v>634.13</v>
      </c>
    </row>
    <row r="82" spans="1:19" s="77" customFormat="1" ht="12" x14ac:dyDescent="0.2">
      <c r="A82" s="68">
        <v>6872</v>
      </c>
      <c r="B82" s="68" t="s">
        <v>8015</v>
      </c>
      <c r="C82" s="88">
        <v>58</v>
      </c>
      <c r="D82" s="73" t="s">
        <v>8020</v>
      </c>
      <c r="E82" s="165" t="s">
        <v>19</v>
      </c>
      <c r="F82" s="74">
        <v>43181</v>
      </c>
      <c r="G82" s="95">
        <f>420.33+320.84</f>
        <v>741.17</v>
      </c>
      <c r="H82" s="63"/>
      <c r="I82" s="63"/>
      <c r="J82" s="63"/>
      <c r="K82" s="133"/>
      <c r="L82" s="63"/>
      <c r="M82" s="63"/>
      <c r="N82" s="63"/>
      <c r="O82" s="63"/>
      <c r="P82" s="63"/>
      <c r="Q82" s="63">
        <f t="shared" si="3"/>
        <v>741.17</v>
      </c>
      <c r="R82" s="63">
        <f t="shared" si="4"/>
        <v>0</v>
      </c>
      <c r="S82" s="63">
        <f t="shared" si="5"/>
        <v>741.17</v>
      </c>
    </row>
    <row r="83" spans="1:19" s="77" customFormat="1" ht="12" x14ac:dyDescent="0.2">
      <c r="A83" s="68">
        <v>9217</v>
      </c>
      <c r="B83" s="68" t="s">
        <v>8021</v>
      </c>
      <c r="C83" s="88">
        <v>59</v>
      </c>
      <c r="D83" s="73" t="s">
        <v>8023</v>
      </c>
      <c r="E83" s="165" t="s">
        <v>19</v>
      </c>
      <c r="F83" s="74">
        <v>43182</v>
      </c>
      <c r="G83" s="95">
        <f>8186.49+55.87+54.88+104.21+912.73+75.99+75.99+75.99</f>
        <v>9542.1499999999978</v>
      </c>
      <c r="H83" s="63"/>
      <c r="I83" s="63"/>
      <c r="J83" s="63"/>
      <c r="K83" s="133"/>
      <c r="L83" s="63"/>
      <c r="M83" s="63"/>
      <c r="N83" s="63"/>
      <c r="O83" s="63"/>
      <c r="P83" s="63"/>
      <c r="Q83" s="63">
        <f t="shared" si="3"/>
        <v>9542.1499999999978</v>
      </c>
      <c r="R83" s="63">
        <f t="shared" si="4"/>
        <v>0</v>
      </c>
      <c r="S83" s="63">
        <f t="shared" si="5"/>
        <v>9542.1499999999978</v>
      </c>
    </row>
    <row r="84" spans="1:19" s="77" customFormat="1" ht="12" x14ac:dyDescent="0.2">
      <c r="A84" s="68" t="s">
        <v>8674</v>
      </c>
      <c r="B84" s="68" t="s">
        <v>8022</v>
      </c>
      <c r="C84" s="88">
        <v>60</v>
      </c>
      <c r="D84" s="73" t="s">
        <v>8024</v>
      </c>
      <c r="E84" s="165" t="s">
        <v>19</v>
      </c>
      <c r="F84" s="74">
        <v>43183</v>
      </c>
      <c r="G84" s="95">
        <f>69.51+69.51+205.87+69.51+111.39</f>
        <v>525.79</v>
      </c>
      <c r="H84" s="63"/>
      <c r="I84" s="63"/>
      <c r="J84" s="63"/>
      <c r="K84" s="133"/>
      <c r="L84" s="63"/>
      <c r="M84" s="63"/>
      <c r="N84" s="63"/>
      <c r="O84" s="63"/>
      <c r="P84" s="63"/>
      <c r="Q84" s="63">
        <f t="shared" si="3"/>
        <v>525.79</v>
      </c>
      <c r="R84" s="63">
        <f t="shared" si="4"/>
        <v>0</v>
      </c>
      <c r="S84" s="63">
        <f t="shared" si="5"/>
        <v>525.79</v>
      </c>
    </row>
    <row r="85" spans="1:19" s="77" customFormat="1" ht="12" x14ac:dyDescent="0.2">
      <c r="A85" s="68">
        <v>12767</v>
      </c>
      <c r="B85" s="68" t="s">
        <v>8025</v>
      </c>
      <c r="C85" s="88">
        <v>61</v>
      </c>
      <c r="D85" s="73" t="s">
        <v>8027</v>
      </c>
      <c r="E85" s="165" t="s">
        <v>19</v>
      </c>
      <c r="F85" s="74">
        <v>43186</v>
      </c>
      <c r="G85" s="95">
        <f>558+194.81+41.3+197.08+258+187.25+101.09+166.37+109.1+114.28+143.46+41.3+222.77+245.77+231.3+41.3+2317.2</f>
        <v>5170.38</v>
      </c>
      <c r="H85" s="63"/>
      <c r="I85" s="63">
        <v>4150</v>
      </c>
      <c r="J85" s="63"/>
      <c r="K85" s="133"/>
      <c r="L85" s="63"/>
      <c r="M85" s="63"/>
      <c r="N85" s="63"/>
      <c r="O85" s="63"/>
      <c r="P85" s="63"/>
      <c r="Q85" s="63">
        <f t="shared" si="3"/>
        <v>9320.380000000001</v>
      </c>
      <c r="R85" s="63">
        <f t="shared" si="4"/>
        <v>0</v>
      </c>
      <c r="S85" s="63">
        <f t="shared" si="5"/>
        <v>9320.380000000001</v>
      </c>
    </row>
    <row r="86" spans="1:19" s="77" customFormat="1" ht="12" x14ac:dyDescent="0.2">
      <c r="A86" s="68">
        <v>12767</v>
      </c>
      <c r="B86" s="68" t="s">
        <v>8025</v>
      </c>
      <c r="C86" s="88">
        <v>61</v>
      </c>
      <c r="D86" s="73" t="s">
        <v>8028</v>
      </c>
      <c r="E86" s="165" t="s">
        <v>19</v>
      </c>
      <c r="F86" s="74">
        <v>43186</v>
      </c>
      <c r="G86" s="95">
        <v>40</v>
      </c>
      <c r="H86" s="63"/>
      <c r="I86" s="63"/>
      <c r="J86" s="63"/>
      <c r="K86" s="133"/>
      <c r="L86" s="63"/>
      <c r="M86" s="63"/>
      <c r="N86" s="63"/>
      <c r="O86" s="63"/>
      <c r="P86" s="63"/>
      <c r="Q86" s="63">
        <f t="shared" si="3"/>
        <v>40</v>
      </c>
      <c r="R86" s="63">
        <f t="shared" si="4"/>
        <v>0</v>
      </c>
      <c r="S86" s="63">
        <f t="shared" si="5"/>
        <v>40</v>
      </c>
    </row>
    <row r="87" spans="1:19" s="77" customFormat="1" ht="12" x14ac:dyDescent="0.2">
      <c r="A87" s="68">
        <v>12767</v>
      </c>
      <c r="B87" s="68" t="s">
        <v>8025</v>
      </c>
      <c r="C87" s="88">
        <v>61</v>
      </c>
      <c r="D87" s="73" t="s">
        <v>8029</v>
      </c>
      <c r="E87" s="165" t="s">
        <v>19</v>
      </c>
      <c r="F87" s="74">
        <v>43186</v>
      </c>
      <c r="G87" s="95">
        <f>188+278.79+168.4+67.78+41.3</f>
        <v>744.27</v>
      </c>
      <c r="H87" s="63"/>
      <c r="I87" s="63"/>
      <c r="J87" s="63"/>
      <c r="K87" s="133"/>
      <c r="L87" s="63"/>
      <c r="M87" s="63"/>
      <c r="N87" s="63"/>
      <c r="O87" s="63"/>
      <c r="P87" s="63"/>
      <c r="Q87" s="63">
        <f t="shared" si="3"/>
        <v>744.27</v>
      </c>
      <c r="R87" s="63">
        <f t="shared" si="4"/>
        <v>0</v>
      </c>
      <c r="S87" s="63">
        <f t="shared" si="5"/>
        <v>744.27</v>
      </c>
    </row>
    <row r="88" spans="1:19" s="77" customFormat="1" ht="12" x14ac:dyDescent="0.2">
      <c r="A88" s="68">
        <v>12767</v>
      </c>
      <c r="B88" s="68" t="s">
        <v>8025</v>
      </c>
      <c r="C88" s="88">
        <v>61</v>
      </c>
      <c r="D88" s="73" t="s">
        <v>8030</v>
      </c>
      <c r="E88" s="165" t="s">
        <v>19</v>
      </c>
      <c r="F88" s="74">
        <v>43186</v>
      </c>
      <c r="G88" s="95">
        <v>158</v>
      </c>
      <c r="H88" s="63"/>
      <c r="I88" s="63"/>
      <c r="J88" s="63"/>
      <c r="K88" s="133"/>
      <c r="L88" s="63"/>
      <c r="M88" s="63"/>
      <c r="N88" s="63"/>
      <c r="O88" s="63"/>
      <c r="P88" s="63"/>
      <c r="Q88" s="63">
        <f t="shared" si="3"/>
        <v>158</v>
      </c>
      <c r="R88" s="63">
        <f t="shared" si="4"/>
        <v>0</v>
      </c>
      <c r="S88" s="63">
        <f t="shared" si="5"/>
        <v>158</v>
      </c>
    </row>
    <row r="89" spans="1:19" s="77" customFormat="1" ht="12" x14ac:dyDescent="0.2">
      <c r="A89" s="68">
        <v>12767</v>
      </c>
      <c r="B89" s="68" t="s">
        <v>8025</v>
      </c>
      <c r="C89" s="88">
        <v>61</v>
      </c>
      <c r="D89" s="73" t="s">
        <v>8031</v>
      </c>
      <c r="E89" s="165" t="s">
        <v>19</v>
      </c>
      <c r="F89" s="74">
        <v>43186</v>
      </c>
      <c r="G89" s="95">
        <v>130</v>
      </c>
      <c r="H89" s="63"/>
      <c r="I89" s="63"/>
      <c r="J89" s="63"/>
      <c r="K89" s="133"/>
      <c r="L89" s="63"/>
      <c r="M89" s="63"/>
      <c r="N89" s="63"/>
      <c r="O89" s="63"/>
      <c r="P89" s="63"/>
      <c r="Q89" s="63">
        <f t="shared" si="3"/>
        <v>130</v>
      </c>
      <c r="R89" s="63">
        <f t="shared" si="4"/>
        <v>0</v>
      </c>
      <c r="S89" s="63">
        <f t="shared" si="5"/>
        <v>130</v>
      </c>
    </row>
    <row r="90" spans="1:19" s="77" customFormat="1" ht="12" x14ac:dyDescent="0.2">
      <c r="A90" s="68">
        <v>12767</v>
      </c>
      <c r="B90" s="68" t="s">
        <v>8025</v>
      </c>
      <c r="C90" s="88">
        <v>61</v>
      </c>
      <c r="D90" s="73" t="s">
        <v>8032</v>
      </c>
      <c r="E90" s="165" t="s">
        <v>19</v>
      </c>
      <c r="F90" s="74">
        <v>43186</v>
      </c>
      <c r="G90" s="95">
        <f>85+115</f>
        <v>200</v>
      </c>
      <c r="H90" s="63"/>
      <c r="I90" s="63"/>
      <c r="J90" s="63"/>
      <c r="K90" s="133"/>
      <c r="L90" s="63"/>
      <c r="M90" s="63"/>
      <c r="N90" s="63"/>
      <c r="O90" s="63"/>
      <c r="P90" s="63"/>
      <c r="Q90" s="63">
        <f t="shared" si="3"/>
        <v>200</v>
      </c>
      <c r="R90" s="63">
        <f t="shared" si="4"/>
        <v>0</v>
      </c>
      <c r="S90" s="63">
        <f t="shared" si="5"/>
        <v>200</v>
      </c>
    </row>
    <row r="91" spans="1:19" s="77" customFormat="1" ht="12" x14ac:dyDescent="0.2">
      <c r="A91" s="68">
        <v>12767</v>
      </c>
      <c r="B91" s="68" t="s">
        <v>8025</v>
      </c>
      <c r="C91" s="88">
        <v>61</v>
      </c>
      <c r="D91" s="73" t="s">
        <v>8033</v>
      </c>
      <c r="E91" s="165" t="s">
        <v>19</v>
      </c>
      <c r="F91" s="74">
        <v>43186</v>
      </c>
      <c r="G91" s="95">
        <v>130</v>
      </c>
      <c r="H91" s="63"/>
      <c r="I91" s="63"/>
      <c r="J91" s="63"/>
      <c r="K91" s="133"/>
      <c r="L91" s="63"/>
      <c r="M91" s="63"/>
      <c r="N91" s="63"/>
      <c r="O91" s="63"/>
      <c r="P91" s="63"/>
      <c r="Q91" s="63">
        <f t="shared" si="3"/>
        <v>130</v>
      </c>
      <c r="R91" s="63">
        <f t="shared" si="4"/>
        <v>0</v>
      </c>
      <c r="S91" s="63">
        <f t="shared" si="5"/>
        <v>130</v>
      </c>
    </row>
    <row r="92" spans="1:19" s="77" customFormat="1" ht="12" x14ac:dyDescent="0.2">
      <c r="A92" s="68">
        <v>12767</v>
      </c>
      <c r="B92" s="68" t="s">
        <v>8025</v>
      </c>
      <c r="C92" s="88">
        <v>61</v>
      </c>
      <c r="D92" s="73" t="s">
        <v>8034</v>
      </c>
      <c r="E92" s="165" t="s">
        <v>19</v>
      </c>
      <c r="F92" s="74">
        <v>43186</v>
      </c>
      <c r="G92" s="95">
        <v>258</v>
      </c>
      <c r="H92" s="63"/>
      <c r="I92" s="63"/>
      <c r="J92" s="63"/>
      <c r="K92" s="133"/>
      <c r="L92" s="63"/>
      <c r="M92" s="63"/>
      <c r="N92" s="63"/>
      <c r="O92" s="63"/>
      <c r="P92" s="63"/>
      <c r="Q92" s="63">
        <f t="shared" si="3"/>
        <v>258</v>
      </c>
      <c r="R92" s="63">
        <f t="shared" si="4"/>
        <v>0</v>
      </c>
      <c r="S92" s="63">
        <f t="shared" si="5"/>
        <v>258</v>
      </c>
    </row>
    <row r="93" spans="1:19" s="77" customFormat="1" ht="12" x14ac:dyDescent="0.2">
      <c r="A93" s="68">
        <v>6429</v>
      </c>
      <c r="B93" s="68" t="s">
        <v>8026</v>
      </c>
      <c r="C93" s="88">
        <v>62</v>
      </c>
      <c r="D93" s="73" t="s">
        <v>8035</v>
      </c>
      <c r="E93" s="165" t="s">
        <v>19</v>
      </c>
      <c r="F93" s="74">
        <v>43186</v>
      </c>
      <c r="G93" s="95"/>
      <c r="H93" s="63"/>
      <c r="I93" s="63">
        <v>3720</v>
      </c>
      <c r="J93" s="63"/>
      <c r="K93" s="133"/>
      <c r="L93" s="63"/>
      <c r="M93" s="63"/>
      <c r="N93" s="63"/>
      <c r="O93" s="63"/>
      <c r="P93" s="63"/>
      <c r="Q93" s="63">
        <f t="shared" si="3"/>
        <v>3720</v>
      </c>
      <c r="R93" s="63">
        <f t="shared" si="4"/>
        <v>0</v>
      </c>
      <c r="S93" s="63">
        <f t="shared" si="5"/>
        <v>3720</v>
      </c>
    </row>
    <row r="94" spans="1:19" s="77" customFormat="1" ht="12" x14ac:dyDescent="0.2">
      <c r="A94" s="68">
        <v>8540</v>
      </c>
      <c r="B94" s="68" t="s">
        <v>8036</v>
      </c>
      <c r="C94" s="88">
        <v>63</v>
      </c>
      <c r="D94" s="73" t="s">
        <v>8037</v>
      </c>
      <c r="E94" s="165" t="s">
        <v>4064</v>
      </c>
      <c r="F94" s="74">
        <v>43186</v>
      </c>
      <c r="G94" s="95">
        <f>38+2</f>
        <v>40</v>
      </c>
      <c r="H94" s="63"/>
      <c r="I94" s="63"/>
      <c r="J94" s="63"/>
      <c r="K94" s="133"/>
      <c r="L94" s="63"/>
      <c r="M94" s="63"/>
      <c r="N94" s="63"/>
      <c r="O94" s="63"/>
      <c r="P94" s="63"/>
      <c r="Q94" s="63">
        <f t="shared" si="3"/>
        <v>40</v>
      </c>
      <c r="R94" s="63">
        <f t="shared" si="4"/>
        <v>0</v>
      </c>
      <c r="S94" s="63">
        <f t="shared" si="5"/>
        <v>40</v>
      </c>
    </row>
    <row r="95" spans="1:19" s="77" customFormat="1" ht="12" x14ac:dyDescent="0.2">
      <c r="A95" s="68">
        <v>8540</v>
      </c>
      <c r="B95" s="68" t="s">
        <v>8036</v>
      </c>
      <c r="C95" s="88">
        <v>63</v>
      </c>
      <c r="D95" s="73" t="s">
        <v>8038</v>
      </c>
      <c r="E95" s="165" t="s">
        <v>4064</v>
      </c>
      <c r="F95" s="74">
        <v>43186</v>
      </c>
      <c r="G95" s="95">
        <f>61+15</f>
        <v>76</v>
      </c>
      <c r="H95" s="63"/>
      <c r="I95" s="63"/>
      <c r="J95" s="63"/>
      <c r="K95" s="133"/>
      <c r="L95" s="63"/>
      <c r="M95" s="63"/>
      <c r="N95" s="63"/>
      <c r="O95" s="63"/>
      <c r="P95" s="63"/>
      <c r="Q95" s="63">
        <f t="shared" si="3"/>
        <v>76</v>
      </c>
      <c r="R95" s="63">
        <f t="shared" si="4"/>
        <v>0</v>
      </c>
      <c r="S95" s="63">
        <f t="shared" si="5"/>
        <v>76</v>
      </c>
    </row>
    <row r="96" spans="1:19" s="77" customFormat="1" ht="12" x14ac:dyDescent="0.2">
      <c r="A96" s="68">
        <v>8540</v>
      </c>
      <c r="B96" s="68" t="s">
        <v>8036</v>
      </c>
      <c r="C96" s="88">
        <v>63</v>
      </c>
      <c r="D96" s="73" t="s">
        <v>8039</v>
      </c>
      <c r="E96" s="165" t="s">
        <v>4064</v>
      </c>
      <c r="F96" s="74">
        <v>43186</v>
      </c>
      <c r="G96" s="95">
        <f>68+15</f>
        <v>83</v>
      </c>
      <c r="H96" s="63"/>
      <c r="I96" s="63"/>
      <c r="J96" s="63"/>
      <c r="K96" s="133"/>
      <c r="L96" s="63"/>
      <c r="M96" s="63"/>
      <c r="N96" s="63"/>
      <c r="O96" s="63"/>
      <c r="P96" s="63"/>
      <c r="Q96" s="63">
        <f t="shared" si="3"/>
        <v>83</v>
      </c>
      <c r="R96" s="63">
        <f t="shared" si="4"/>
        <v>0</v>
      </c>
      <c r="S96" s="63">
        <f t="shared" si="5"/>
        <v>83</v>
      </c>
    </row>
    <row r="97" spans="1:19" s="77" customFormat="1" ht="12" x14ac:dyDescent="0.2">
      <c r="A97" s="68">
        <v>8540</v>
      </c>
      <c r="B97" s="68" t="s">
        <v>8036</v>
      </c>
      <c r="C97" s="88">
        <v>63</v>
      </c>
      <c r="D97" s="73" t="s">
        <v>8040</v>
      </c>
      <c r="E97" s="165" t="s">
        <v>4064</v>
      </c>
      <c r="F97" s="74">
        <v>43186</v>
      </c>
      <c r="G97" s="95">
        <f>98+25</f>
        <v>123</v>
      </c>
      <c r="H97" s="63"/>
      <c r="I97" s="63"/>
      <c r="J97" s="63"/>
      <c r="K97" s="133"/>
      <c r="L97" s="63"/>
      <c r="M97" s="63"/>
      <c r="N97" s="63"/>
      <c r="O97" s="63"/>
      <c r="P97" s="63"/>
      <c r="Q97" s="63">
        <f t="shared" si="3"/>
        <v>123</v>
      </c>
      <c r="R97" s="63">
        <f t="shared" si="4"/>
        <v>0</v>
      </c>
      <c r="S97" s="63">
        <f t="shared" si="5"/>
        <v>123</v>
      </c>
    </row>
    <row r="98" spans="1:19" s="77" customFormat="1" ht="12" x14ac:dyDescent="0.2">
      <c r="A98" s="68">
        <v>8540</v>
      </c>
      <c r="B98" s="68" t="s">
        <v>8036</v>
      </c>
      <c r="C98" s="88">
        <v>63</v>
      </c>
      <c r="D98" s="73" t="s">
        <v>8041</v>
      </c>
      <c r="E98" s="165" t="s">
        <v>4064</v>
      </c>
      <c r="F98" s="74">
        <v>43186</v>
      </c>
      <c r="G98" s="95">
        <f>18532.84+857+102.5</f>
        <v>19492.34</v>
      </c>
      <c r="H98" s="63"/>
      <c r="I98" s="63"/>
      <c r="J98" s="63"/>
      <c r="K98" s="133"/>
      <c r="L98" s="63"/>
      <c r="M98" s="63"/>
      <c r="N98" s="63"/>
      <c r="O98" s="63"/>
      <c r="P98" s="63"/>
      <c r="Q98" s="63">
        <f t="shared" si="3"/>
        <v>19492.34</v>
      </c>
      <c r="R98" s="63">
        <f t="shared" si="4"/>
        <v>0</v>
      </c>
      <c r="S98" s="63">
        <f t="shared" si="5"/>
        <v>19492.34</v>
      </c>
    </row>
    <row r="99" spans="1:19" s="77" customFormat="1" ht="12" x14ac:dyDescent="0.2">
      <c r="A99" s="68">
        <v>8858</v>
      </c>
      <c r="B99" s="68" t="s">
        <v>8042</v>
      </c>
      <c r="C99" s="88">
        <v>64</v>
      </c>
      <c r="D99" s="73" t="s">
        <v>8048</v>
      </c>
      <c r="E99" s="165" t="s">
        <v>19</v>
      </c>
      <c r="F99" s="74">
        <v>43190</v>
      </c>
      <c r="G99" s="95">
        <f>400+165.72</f>
        <v>565.72</v>
      </c>
      <c r="H99" s="63"/>
      <c r="I99" s="63"/>
      <c r="J99" s="63"/>
      <c r="K99" s="133"/>
      <c r="L99" s="63"/>
      <c r="M99" s="63"/>
      <c r="N99" s="63"/>
      <c r="O99" s="63"/>
      <c r="P99" s="63"/>
      <c r="Q99" s="63">
        <f t="shared" si="3"/>
        <v>565.72</v>
      </c>
      <c r="R99" s="63">
        <f t="shared" si="4"/>
        <v>0</v>
      </c>
      <c r="S99" s="63">
        <f t="shared" si="5"/>
        <v>565.72</v>
      </c>
    </row>
    <row r="100" spans="1:19" s="77" customFormat="1" ht="12" x14ac:dyDescent="0.2">
      <c r="A100" s="68">
        <v>7370</v>
      </c>
      <c r="B100" s="68" t="s">
        <v>8043</v>
      </c>
      <c r="C100" s="88">
        <v>65</v>
      </c>
      <c r="D100" s="73" t="s">
        <v>8049</v>
      </c>
      <c r="E100" s="165" t="s">
        <v>19</v>
      </c>
      <c r="F100" s="74">
        <v>43190</v>
      </c>
      <c r="G100" s="95">
        <v>109.45</v>
      </c>
      <c r="H100" s="63"/>
      <c r="I100" s="63"/>
      <c r="J100" s="63"/>
      <c r="K100" s="133"/>
      <c r="L100" s="63"/>
      <c r="M100" s="63"/>
      <c r="N100" s="63"/>
      <c r="O100" s="63"/>
      <c r="P100" s="63"/>
      <c r="Q100" s="63">
        <f t="shared" si="3"/>
        <v>109.45</v>
      </c>
      <c r="R100" s="63">
        <f t="shared" si="4"/>
        <v>0</v>
      </c>
      <c r="S100" s="63">
        <f t="shared" si="5"/>
        <v>109.45</v>
      </c>
    </row>
    <row r="101" spans="1:19" s="77" customFormat="1" ht="12" x14ac:dyDescent="0.2">
      <c r="A101" s="68">
        <v>15752</v>
      </c>
      <c r="B101" s="68" t="s">
        <v>8044</v>
      </c>
      <c r="C101" s="88">
        <v>66</v>
      </c>
      <c r="D101" s="73" t="s">
        <v>8050</v>
      </c>
      <c r="E101" s="165" t="s">
        <v>19</v>
      </c>
      <c r="F101" s="74">
        <v>43190</v>
      </c>
      <c r="G101" s="95">
        <v>333.28</v>
      </c>
      <c r="H101" s="63"/>
      <c r="I101" s="63"/>
      <c r="J101" s="63"/>
      <c r="K101" s="133"/>
      <c r="L101" s="63"/>
      <c r="M101" s="63"/>
      <c r="N101" s="63"/>
      <c r="O101" s="63"/>
      <c r="P101" s="63"/>
      <c r="Q101" s="63">
        <f t="shared" si="3"/>
        <v>333.28</v>
      </c>
      <c r="R101" s="63">
        <f t="shared" si="4"/>
        <v>0</v>
      </c>
      <c r="S101" s="63">
        <f t="shared" si="5"/>
        <v>333.28</v>
      </c>
    </row>
    <row r="102" spans="1:19" s="77" customFormat="1" ht="12" x14ac:dyDescent="0.2">
      <c r="A102" s="68">
        <v>12966</v>
      </c>
      <c r="B102" s="68" t="s">
        <v>8045</v>
      </c>
      <c r="C102" s="88">
        <v>67</v>
      </c>
      <c r="D102" s="73" t="s">
        <v>8051</v>
      </c>
      <c r="E102" s="165" t="s">
        <v>19</v>
      </c>
      <c r="F102" s="74">
        <v>43194</v>
      </c>
      <c r="G102" s="95">
        <v>2995.44</v>
      </c>
      <c r="H102" s="63"/>
      <c r="I102" s="63"/>
      <c r="J102" s="63"/>
      <c r="K102" s="133"/>
      <c r="L102" s="63"/>
      <c r="M102" s="63"/>
      <c r="N102" s="63"/>
      <c r="O102" s="63"/>
      <c r="P102" s="63"/>
      <c r="Q102" s="63">
        <f t="shared" si="3"/>
        <v>2995.44</v>
      </c>
      <c r="R102" s="63">
        <f t="shared" si="4"/>
        <v>0</v>
      </c>
      <c r="S102" s="63">
        <f t="shared" si="5"/>
        <v>2995.44</v>
      </c>
    </row>
    <row r="103" spans="1:19" s="77" customFormat="1" ht="12" x14ac:dyDescent="0.2">
      <c r="A103" s="68">
        <v>13050</v>
      </c>
      <c r="B103" s="68" t="s">
        <v>5610</v>
      </c>
      <c r="C103" s="88">
        <v>68</v>
      </c>
      <c r="D103" s="73" t="s">
        <v>8052</v>
      </c>
      <c r="E103" s="165" t="s">
        <v>19</v>
      </c>
      <c r="F103" s="74">
        <v>43199</v>
      </c>
      <c r="G103" s="95">
        <v>182.46</v>
      </c>
      <c r="H103" s="63"/>
      <c r="I103" s="63"/>
      <c r="J103" s="63"/>
      <c r="K103" s="133"/>
      <c r="L103" s="63"/>
      <c r="M103" s="63"/>
      <c r="N103" s="63"/>
      <c r="O103" s="63"/>
      <c r="P103" s="63"/>
      <c r="Q103" s="63">
        <f t="shared" si="3"/>
        <v>182.46</v>
      </c>
      <c r="R103" s="63">
        <f t="shared" si="4"/>
        <v>0</v>
      </c>
      <c r="S103" s="63">
        <f t="shared" si="5"/>
        <v>182.46</v>
      </c>
    </row>
    <row r="104" spans="1:19" s="77" customFormat="1" ht="12" x14ac:dyDescent="0.2">
      <c r="A104" s="68">
        <v>13050</v>
      </c>
      <c r="B104" s="68" t="s">
        <v>5610</v>
      </c>
      <c r="C104" s="88">
        <v>68</v>
      </c>
      <c r="D104" s="73" t="s">
        <v>8053</v>
      </c>
      <c r="E104" s="165" t="s">
        <v>19</v>
      </c>
      <c r="F104" s="74">
        <v>43199</v>
      </c>
      <c r="G104" s="95">
        <v>162</v>
      </c>
      <c r="H104" s="63"/>
      <c r="I104" s="63"/>
      <c r="J104" s="63"/>
      <c r="K104" s="133"/>
      <c r="L104" s="63"/>
      <c r="M104" s="63"/>
      <c r="N104" s="63"/>
      <c r="O104" s="63"/>
      <c r="P104" s="63"/>
      <c r="Q104" s="63">
        <f t="shared" si="3"/>
        <v>162</v>
      </c>
      <c r="R104" s="63">
        <f t="shared" si="4"/>
        <v>0</v>
      </c>
      <c r="S104" s="63">
        <f t="shared" si="5"/>
        <v>162</v>
      </c>
    </row>
    <row r="105" spans="1:19" s="77" customFormat="1" ht="12" x14ac:dyDescent="0.2">
      <c r="A105" s="68">
        <v>13050</v>
      </c>
      <c r="B105" s="68" t="s">
        <v>5610</v>
      </c>
      <c r="C105" s="88">
        <v>68</v>
      </c>
      <c r="D105" s="73" t="s">
        <v>8054</v>
      </c>
      <c r="E105" s="165" t="s">
        <v>19</v>
      </c>
      <c r="F105" s="74">
        <v>43199</v>
      </c>
      <c r="G105" s="95">
        <v>145.66</v>
      </c>
      <c r="H105" s="63"/>
      <c r="I105" s="63"/>
      <c r="J105" s="63"/>
      <c r="K105" s="133"/>
      <c r="L105" s="63"/>
      <c r="M105" s="63"/>
      <c r="N105" s="63"/>
      <c r="O105" s="63"/>
      <c r="P105" s="63"/>
      <c r="Q105" s="63">
        <f t="shared" si="3"/>
        <v>145.66</v>
      </c>
      <c r="R105" s="63">
        <f t="shared" si="4"/>
        <v>0</v>
      </c>
      <c r="S105" s="63">
        <f t="shared" si="5"/>
        <v>145.66</v>
      </c>
    </row>
    <row r="106" spans="1:19" s="77" customFormat="1" ht="12" x14ac:dyDescent="0.2">
      <c r="A106" s="68">
        <v>13050</v>
      </c>
      <c r="B106" s="68" t="s">
        <v>5610</v>
      </c>
      <c r="C106" s="88">
        <v>68</v>
      </c>
      <c r="D106" s="73" t="s">
        <v>8055</v>
      </c>
      <c r="E106" s="165" t="s">
        <v>19</v>
      </c>
      <c r="F106" s="74">
        <v>43199</v>
      </c>
      <c r="G106" s="95">
        <v>192.85</v>
      </c>
      <c r="H106" s="63"/>
      <c r="I106" s="63"/>
      <c r="J106" s="63"/>
      <c r="K106" s="133"/>
      <c r="L106" s="63"/>
      <c r="M106" s="63"/>
      <c r="N106" s="63"/>
      <c r="O106" s="63"/>
      <c r="P106" s="63"/>
      <c r="Q106" s="63">
        <f t="shared" si="3"/>
        <v>192.85</v>
      </c>
      <c r="R106" s="63">
        <f t="shared" si="4"/>
        <v>0</v>
      </c>
      <c r="S106" s="63">
        <f t="shared" si="5"/>
        <v>192.85</v>
      </c>
    </row>
    <row r="107" spans="1:19" s="77" customFormat="1" ht="12" x14ac:dyDescent="0.2">
      <c r="A107" s="68">
        <v>13050</v>
      </c>
      <c r="B107" s="68" t="s">
        <v>5610</v>
      </c>
      <c r="C107" s="88">
        <v>68</v>
      </c>
      <c r="D107" s="73" t="s">
        <v>8056</v>
      </c>
      <c r="E107" s="165" t="s">
        <v>19</v>
      </c>
      <c r="F107" s="74">
        <v>43199</v>
      </c>
      <c r="G107" s="95">
        <v>117.33</v>
      </c>
      <c r="H107" s="63"/>
      <c r="I107" s="63"/>
      <c r="J107" s="63"/>
      <c r="K107" s="133"/>
      <c r="L107" s="63"/>
      <c r="M107" s="63"/>
      <c r="N107" s="63"/>
      <c r="O107" s="63"/>
      <c r="P107" s="63"/>
      <c r="Q107" s="63">
        <f t="shared" si="3"/>
        <v>117.33</v>
      </c>
      <c r="R107" s="63">
        <f t="shared" si="4"/>
        <v>0</v>
      </c>
      <c r="S107" s="63">
        <f t="shared" si="5"/>
        <v>117.33</v>
      </c>
    </row>
    <row r="108" spans="1:19" s="77" customFormat="1" ht="12" x14ac:dyDescent="0.2">
      <c r="A108" s="68">
        <v>13050</v>
      </c>
      <c r="B108" s="68" t="s">
        <v>5610</v>
      </c>
      <c r="C108" s="88">
        <v>68</v>
      </c>
      <c r="D108" s="73" t="s">
        <v>8057</v>
      </c>
      <c r="E108" s="165" t="s">
        <v>19</v>
      </c>
      <c r="F108" s="74">
        <v>43199</v>
      </c>
      <c r="G108" s="95">
        <v>83.53</v>
      </c>
      <c r="H108" s="63"/>
      <c r="I108" s="63"/>
      <c r="J108" s="63"/>
      <c r="K108" s="133"/>
      <c r="L108" s="63"/>
      <c r="M108" s="63"/>
      <c r="N108" s="63"/>
      <c r="O108" s="63"/>
      <c r="P108" s="63"/>
      <c r="Q108" s="63">
        <f t="shared" si="3"/>
        <v>83.53</v>
      </c>
      <c r="R108" s="63">
        <f t="shared" si="4"/>
        <v>0</v>
      </c>
      <c r="S108" s="63">
        <f t="shared" si="5"/>
        <v>83.53</v>
      </c>
    </row>
    <row r="109" spans="1:19" s="77" customFormat="1" ht="12" x14ac:dyDescent="0.2">
      <c r="A109" s="68">
        <v>13050</v>
      </c>
      <c r="B109" s="68" t="s">
        <v>5610</v>
      </c>
      <c r="C109" s="88">
        <v>68</v>
      </c>
      <c r="D109" s="73" t="s">
        <v>8058</v>
      </c>
      <c r="E109" s="165" t="s">
        <v>19</v>
      </c>
      <c r="F109" s="74">
        <v>43199</v>
      </c>
      <c r="G109" s="95">
        <v>182.26</v>
      </c>
      <c r="H109" s="63"/>
      <c r="I109" s="63"/>
      <c r="J109" s="63"/>
      <c r="K109" s="133"/>
      <c r="L109" s="63"/>
      <c r="M109" s="63"/>
      <c r="N109" s="63"/>
      <c r="O109" s="63"/>
      <c r="P109" s="63"/>
      <c r="Q109" s="63">
        <f t="shared" si="3"/>
        <v>182.26</v>
      </c>
      <c r="R109" s="63">
        <f t="shared" si="4"/>
        <v>0</v>
      </c>
      <c r="S109" s="63">
        <f t="shared" si="5"/>
        <v>182.26</v>
      </c>
    </row>
    <row r="110" spans="1:19" s="77" customFormat="1" ht="12" x14ac:dyDescent="0.2">
      <c r="A110" s="68">
        <v>6597</v>
      </c>
      <c r="B110" s="74" t="s">
        <v>8046</v>
      </c>
      <c r="C110" s="88">
        <v>69</v>
      </c>
      <c r="D110" s="73" t="s">
        <v>8059</v>
      </c>
      <c r="E110" s="165" t="s">
        <v>19</v>
      </c>
      <c r="F110" s="74">
        <v>43201</v>
      </c>
      <c r="G110" s="95">
        <v>116.66</v>
      </c>
      <c r="H110" s="63"/>
      <c r="I110" s="63"/>
      <c r="J110" s="63"/>
      <c r="K110" s="133"/>
      <c r="L110" s="63"/>
      <c r="M110" s="63"/>
      <c r="N110" s="63"/>
      <c r="O110" s="63"/>
      <c r="P110" s="63"/>
      <c r="Q110" s="63">
        <f t="shared" si="3"/>
        <v>116.66</v>
      </c>
      <c r="R110" s="63">
        <f t="shared" si="4"/>
        <v>0</v>
      </c>
      <c r="S110" s="63">
        <f t="shared" si="5"/>
        <v>116.66</v>
      </c>
    </row>
    <row r="111" spans="1:19" s="77" customFormat="1" ht="12" x14ac:dyDescent="0.2">
      <c r="A111" s="68" t="s">
        <v>8675</v>
      </c>
      <c r="B111" s="68" t="s">
        <v>8047</v>
      </c>
      <c r="C111" s="88">
        <v>70</v>
      </c>
      <c r="D111" s="73" t="s">
        <v>8060</v>
      </c>
      <c r="E111" s="165" t="s">
        <v>19</v>
      </c>
      <c r="F111" s="74">
        <v>43201</v>
      </c>
      <c r="G111" s="95">
        <v>119.06</v>
      </c>
      <c r="H111" s="63"/>
      <c r="I111" s="63"/>
      <c r="J111" s="63"/>
      <c r="K111" s="133"/>
      <c r="L111" s="63"/>
      <c r="M111" s="63"/>
      <c r="N111" s="63"/>
      <c r="O111" s="63"/>
      <c r="P111" s="63"/>
      <c r="Q111" s="63">
        <f t="shared" si="3"/>
        <v>119.06</v>
      </c>
      <c r="R111" s="63">
        <f t="shared" si="4"/>
        <v>0</v>
      </c>
      <c r="S111" s="63">
        <f t="shared" si="5"/>
        <v>119.06</v>
      </c>
    </row>
    <row r="112" spans="1:19" s="77" customFormat="1" ht="12" x14ac:dyDescent="0.2">
      <c r="A112" s="68">
        <v>4773</v>
      </c>
      <c r="B112" s="68" t="s">
        <v>8062</v>
      </c>
      <c r="C112" s="88">
        <v>71</v>
      </c>
      <c r="D112" s="73" t="s">
        <v>8065</v>
      </c>
      <c r="E112" s="165" t="s">
        <v>19</v>
      </c>
      <c r="F112" s="74">
        <v>43204</v>
      </c>
      <c r="G112" s="95">
        <f>199.07+130.48+106.91</f>
        <v>436.45999999999992</v>
      </c>
      <c r="H112" s="63"/>
      <c r="I112" s="63"/>
      <c r="J112" s="63"/>
      <c r="K112" s="133"/>
      <c r="L112" s="63"/>
      <c r="M112" s="63"/>
      <c r="N112" s="63"/>
      <c r="O112" s="63"/>
      <c r="P112" s="63"/>
      <c r="Q112" s="63">
        <f t="shared" si="3"/>
        <v>436.45999999999992</v>
      </c>
      <c r="R112" s="63">
        <f t="shared" si="4"/>
        <v>0</v>
      </c>
      <c r="S112" s="63">
        <f t="shared" si="5"/>
        <v>436.45999999999992</v>
      </c>
    </row>
    <row r="113" spans="1:19" s="77" customFormat="1" ht="12" x14ac:dyDescent="0.2">
      <c r="A113" s="68" t="s">
        <v>8676</v>
      </c>
      <c r="B113" s="68" t="s">
        <v>8063</v>
      </c>
      <c r="C113" s="88">
        <v>72</v>
      </c>
      <c r="D113" s="73" t="s">
        <v>8066</v>
      </c>
      <c r="E113" s="165" t="s">
        <v>19</v>
      </c>
      <c r="F113" s="74">
        <v>43207</v>
      </c>
      <c r="G113" s="95">
        <f>1155+370+110.92+379.96+2465.02</f>
        <v>4480.8999999999996</v>
      </c>
      <c r="H113" s="63"/>
      <c r="I113" s="63">
        <f>930+930+1145+1145</f>
        <v>4150</v>
      </c>
      <c r="J113" s="63"/>
      <c r="K113" s="133"/>
      <c r="L113" s="63"/>
      <c r="M113" s="63"/>
      <c r="N113" s="63"/>
      <c r="O113" s="63"/>
      <c r="P113" s="63"/>
      <c r="Q113" s="63">
        <f t="shared" si="3"/>
        <v>8630.9</v>
      </c>
      <c r="R113" s="63">
        <f t="shared" si="4"/>
        <v>0</v>
      </c>
      <c r="S113" s="63">
        <f t="shared" si="5"/>
        <v>8630.9</v>
      </c>
    </row>
    <row r="114" spans="1:19" s="77" customFormat="1" ht="12" x14ac:dyDescent="0.2">
      <c r="A114" s="68" t="s">
        <v>8676</v>
      </c>
      <c r="B114" s="68" t="s">
        <v>8063</v>
      </c>
      <c r="C114" s="88">
        <v>72</v>
      </c>
      <c r="D114" s="73" t="s">
        <v>8067</v>
      </c>
      <c r="E114" s="165" t="s">
        <v>19</v>
      </c>
      <c r="F114" s="74">
        <v>43207</v>
      </c>
      <c r="G114" s="95">
        <f>1.36+146.06</f>
        <v>147.42000000000002</v>
      </c>
      <c r="H114" s="63"/>
      <c r="I114" s="63"/>
      <c r="J114" s="63"/>
      <c r="K114" s="133"/>
      <c r="L114" s="63"/>
      <c r="M114" s="63"/>
      <c r="N114" s="63"/>
      <c r="O114" s="63"/>
      <c r="P114" s="63"/>
      <c r="Q114" s="63">
        <f t="shared" si="3"/>
        <v>147.42000000000002</v>
      </c>
      <c r="R114" s="63">
        <f t="shared" si="4"/>
        <v>0</v>
      </c>
      <c r="S114" s="63">
        <f t="shared" si="5"/>
        <v>147.42000000000002</v>
      </c>
    </row>
    <row r="115" spans="1:19" s="77" customFormat="1" ht="12" x14ac:dyDescent="0.2">
      <c r="A115" s="68">
        <v>6021</v>
      </c>
      <c r="B115" s="68" t="s">
        <v>8064</v>
      </c>
      <c r="C115" s="88">
        <v>73</v>
      </c>
      <c r="D115" s="73" t="s">
        <v>8068</v>
      </c>
      <c r="E115" s="165" t="s">
        <v>19</v>
      </c>
      <c r="F115" s="74">
        <v>43208</v>
      </c>
      <c r="G115" s="95">
        <f>673.73+327.5+687.72+255+525.3+238+238+968+960+478.4+710.93+14686.64</f>
        <v>20749.22</v>
      </c>
      <c r="H115" s="63"/>
      <c r="I115" s="63">
        <v>2790</v>
      </c>
      <c r="J115" s="63"/>
      <c r="K115" s="133"/>
      <c r="L115" s="63"/>
      <c r="M115" s="63"/>
      <c r="N115" s="63"/>
      <c r="O115" s="63"/>
      <c r="P115" s="63"/>
      <c r="Q115" s="63">
        <f t="shared" si="3"/>
        <v>23539.22</v>
      </c>
      <c r="R115" s="63">
        <f t="shared" si="4"/>
        <v>0</v>
      </c>
      <c r="S115" s="63">
        <f t="shared" si="5"/>
        <v>23539.22</v>
      </c>
    </row>
    <row r="116" spans="1:19" s="77" customFormat="1" ht="12" x14ac:dyDescent="0.2">
      <c r="A116" s="68">
        <v>6093</v>
      </c>
      <c r="B116" s="68" t="s">
        <v>8069</v>
      </c>
      <c r="C116" s="88">
        <v>74</v>
      </c>
      <c r="D116" s="73" t="s">
        <v>8076</v>
      </c>
      <c r="E116" s="165" t="s">
        <v>4064</v>
      </c>
      <c r="F116" s="74">
        <v>43210</v>
      </c>
      <c r="G116" s="95">
        <f>138+17.5</f>
        <v>155.5</v>
      </c>
      <c r="H116" s="63"/>
      <c r="I116" s="63"/>
      <c r="J116" s="63"/>
      <c r="K116" s="133"/>
      <c r="L116" s="63"/>
      <c r="M116" s="63"/>
      <c r="N116" s="63"/>
      <c r="O116" s="63"/>
      <c r="P116" s="63"/>
      <c r="Q116" s="63">
        <f t="shared" si="3"/>
        <v>155.5</v>
      </c>
      <c r="R116" s="63">
        <f t="shared" si="4"/>
        <v>0</v>
      </c>
      <c r="S116" s="63">
        <f t="shared" si="5"/>
        <v>155.5</v>
      </c>
    </row>
    <row r="117" spans="1:19" s="77" customFormat="1" ht="12" x14ac:dyDescent="0.2">
      <c r="A117" s="68">
        <v>1609</v>
      </c>
      <c r="B117" s="68" t="s">
        <v>8070</v>
      </c>
      <c r="C117" s="88">
        <v>75</v>
      </c>
      <c r="D117" s="73" t="s">
        <v>8077</v>
      </c>
      <c r="E117" s="165" t="s">
        <v>4064</v>
      </c>
      <c r="F117" s="74">
        <v>43210</v>
      </c>
      <c r="G117" s="95">
        <f>252+79</f>
        <v>331</v>
      </c>
      <c r="H117" s="63"/>
      <c r="I117" s="63"/>
      <c r="J117" s="63"/>
      <c r="K117" s="133"/>
      <c r="L117" s="63"/>
      <c r="M117" s="63"/>
      <c r="N117" s="63"/>
      <c r="O117" s="63"/>
      <c r="P117" s="63"/>
      <c r="Q117" s="63">
        <f t="shared" si="3"/>
        <v>331</v>
      </c>
      <c r="R117" s="63">
        <f t="shared" si="4"/>
        <v>0</v>
      </c>
      <c r="S117" s="63">
        <f t="shared" si="5"/>
        <v>331</v>
      </c>
    </row>
    <row r="118" spans="1:19" s="77" customFormat="1" ht="12" x14ac:dyDescent="0.2">
      <c r="A118" s="68">
        <v>15051</v>
      </c>
      <c r="B118" s="68" t="s">
        <v>8071</v>
      </c>
      <c r="C118" s="88">
        <v>76</v>
      </c>
      <c r="D118" s="73" t="s">
        <v>8078</v>
      </c>
      <c r="E118" s="165" t="s">
        <v>4064</v>
      </c>
      <c r="F118" s="74">
        <v>43210</v>
      </c>
      <c r="G118" s="95">
        <v>68</v>
      </c>
      <c r="H118" s="63"/>
      <c r="I118" s="63"/>
      <c r="J118" s="63"/>
      <c r="K118" s="133"/>
      <c r="L118" s="63"/>
      <c r="M118" s="63"/>
      <c r="N118" s="63"/>
      <c r="O118" s="63"/>
      <c r="P118" s="63"/>
      <c r="Q118" s="63">
        <f t="shared" si="3"/>
        <v>68</v>
      </c>
      <c r="R118" s="63">
        <f t="shared" si="4"/>
        <v>0</v>
      </c>
      <c r="S118" s="63">
        <f t="shared" si="5"/>
        <v>68</v>
      </c>
    </row>
    <row r="119" spans="1:19" s="77" customFormat="1" ht="12" x14ac:dyDescent="0.2">
      <c r="A119" s="68">
        <v>2848</v>
      </c>
      <c r="B119" s="68" t="s">
        <v>8072</v>
      </c>
      <c r="C119" s="88">
        <v>77</v>
      </c>
      <c r="D119" s="73" t="s">
        <v>8079</v>
      </c>
      <c r="E119" s="165" t="s">
        <v>19</v>
      </c>
      <c r="F119" s="74">
        <v>43210</v>
      </c>
      <c r="G119" s="95">
        <f>191+238+105</f>
        <v>534</v>
      </c>
      <c r="H119" s="63"/>
      <c r="I119" s="63"/>
      <c r="J119" s="63"/>
      <c r="K119" s="133"/>
      <c r="L119" s="63"/>
      <c r="M119" s="63"/>
      <c r="N119" s="63"/>
      <c r="O119" s="63"/>
      <c r="P119" s="63"/>
      <c r="Q119" s="63">
        <f t="shared" si="3"/>
        <v>534</v>
      </c>
      <c r="R119" s="63">
        <f t="shared" si="4"/>
        <v>0</v>
      </c>
      <c r="S119" s="63">
        <f t="shared" si="5"/>
        <v>534</v>
      </c>
    </row>
    <row r="120" spans="1:19" s="77" customFormat="1" ht="12" x14ac:dyDescent="0.2">
      <c r="A120" s="68">
        <v>16421</v>
      </c>
      <c r="B120" s="68" t="s">
        <v>8073</v>
      </c>
      <c r="C120" s="88">
        <v>78</v>
      </c>
      <c r="D120" s="73" t="s">
        <v>8080</v>
      </c>
      <c r="E120" s="165" t="s">
        <v>19</v>
      </c>
      <c r="F120" s="74">
        <v>43214</v>
      </c>
      <c r="G120" s="95">
        <v>100.3</v>
      </c>
      <c r="H120" s="63"/>
      <c r="I120" s="63"/>
      <c r="J120" s="63"/>
      <c r="K120" s="133"/>
      <c r="L120" s="63"/>
      <c r="M120" s="63"/>
      <c r="N120" s="63"/>
      <c r="O120" s="63"/>
      <c r="P120" s="63"/>
      <c r="Q120" s="63">
        <f t="shared" si="3"/>
        <v>100.3</v>
      </c>
      <c r="R120" s="63">
        <f t="shared" si="4"/>
        <v>0</v>
      </c>
      <c r="S120" s="63">
        <f t="shared" si="5"/>
        <v>100.3</v>
      </c>
    </row>
    <row r="121" spans="1:19" s="77" customFormat="1" ht="12" x14ac:dyDescent="0.2">
      <c r="A121" s="68">
        <v>16919</v>
      </c>
      <c r="B121" s="68" t="s">
        <v>8074</v>
      </c>
      <c r="C121" s="88">
        <v>79</v>
      </c>
      <c r="D121" s="73" t="s">
        <v>8081</v>
      </c>
      <c r="E121" s="165" t="s">
        <v>19</v>
      </c>
      <c r="F121" s="74">
        <v>43214</v>
      </c>
      <c r="G121" s="95"/>
      <c r="H121" s="63"/>
      <c r="I121" s="63"/>
      <c r="J121" s="63"/>
      <c r="K121" s="133"/>
      <c r="L121" s="63"/>
      <c r="M121" s="63"/>
      <c r="N121" s="63"/>
      <c r="O121" s="63"/>
      <c r="P121" s="63"/>
      <c r="Q121" s="63">
        <f t="shared" si="3"/>
        <v>0</v>
      </c>
      <c r="R121" s="63">
        <f t="shared" si="4"/>
        <v>0</v>
      </c>
      <c r="S121" s="63">
        <f t="shared" si="5"/>
        <v>0</v>
      </c>
    </row>
    <row r="122" spans="1:19" s="77" customFormat="1" ht="12" x14ac:dyDescent="0.2">
      <c r="A122" s="68" t="s">
        <v>8677</v>
      </c>
      <c r="B122" s="68" t="s">
        <v>8075</v>
      </c>
      <c r="C122" s="88">
        <v>80</v>
      </c>
      <c r="D122" s="73" t="s">
        <v>8293</v>
      </c>
      <c r="E122" s="165" t="s">
        <v>19</v>
      </c>
      <c r="F122" s="74">
        <v>43214</v>
      </c>
      <c r="G122" s="95">
        <v>301.49</v>
      </c>
      <c r="H122" s="63"/>
      <c r="I122" s="63"/>
      <c r="J122" s="63"/>
      <c r="K122" s="133"/>
      <c r="L122" s="63"/>
      <c r="M122" s="63"/>
      <c r="N122" s="63"/>
      <c r="O122" s="63"/>
      <c r="P122" s="63"/>
      <c r="Q122" s="63">
        <f t="shared" si="3"/>
        <v>301.49</v>
      </c>
      <c r="R122" s="63">
        <f t="shared" si="4"/>
        <v>0</v>
      </c>
      <c r="S122" s="63">
        <f t="shared" si="5"/>
        <v>301.49</v>
      </c>
    </row>
    <row r="123" spans="1:19" s="77" customFormat="1" ht="12" x14ac:dyDescent="0.2">
      <c r="A123" s="68">
        <v>13416</v>
      </c>
      <c r="B123" s="68" t="s">
        <v>8083</v>
      </c>
      <c r="C123" s="88">
        <v>81</v>
      </c>
      <c r="D123" s="73" t="s">
        <v>8089</v>
      </c>
      <c r="E123" s="165" t="s">
        <v>19</v>
      </c>
      <c r="F123" s="74">
        <v>43214</v>
      </c>
      <c r="G123" s="95">
        <v>753.23</v>
      </c>
      <c r="H123" s="63"/>
      <c r="I123" s="63"/>
      <c r="J123" s="63"/>
      <c r="K123" s="133"/>
      <c r="L123" s="63"/>
      <c r="M123" s="63"/>
      <c r="N123" s="63"/>
      <c r="O123" s="63"/>
      <c r="P123" s="63"/>
      <c r="Q123" s="63">
        <f t="shared" si="3"/>
        <v>753.23</v>
      </c>
      <c r="R123" s="63">
        <f t="shared" si="4"/>
        <v>0</v>
      </c>
      <c r="S123" s="63">
        <f t="shared" si="5"/>
        <v>753.23</v>
      </c>
    </row>
    <row r="124" spans="1:19" s="77" customFormat="1" ht="12" x14ac:dyDescent="0.2">
      <c r="A124" s="68">
        <v>13416</v>
      </c>
      <c r="B124" s="68" t="s">
        <v>8083</v>
      </c>
      <c r="C124" s="88">
        <v>81</v>
      </c>
      <c r="D124" s="73" t="s">
        <v>8090</v>
      </c>
      <c r="E124" s="165" t="s">
        <v>19</v>
      </c>
      <c r="F124" s="74">
        <v>43214</v>
      </c>
      <c r="G124" s="95">
        <v>120.95</v>
      </c>
      <c r="H124" s="63"/>
      <c r="I124" s="63"/>
      <c r="J124" s="63"/>
      <c r="K124" s="133"/>
      <c r="L124" s="63"/>
      <c r="M124" s="63"/>
      <c r="N124" s="63"/>
      <c r="O124" s="63"/>
      <c r="P124" s="63"/>
      <c r="Q124" s="63">
        <f t="shared" si="3"/>
        <v>120.95</v>
      </c>
      <c r="R124" s="63">
        <f t="shared" si="4"/>
        <v>0</v>
      </c>
      <c r="S124" s="63">
        <f t="shared" si="5"/>
        <v>120.95</v>
      </c>
    </row>
    <row r="125" spans="1:19" s="77" customFormat="1" ht="12" x14ac:dyDescent="0.2">
      <c r="A125" s="68">
        <v>13416</v>
      </c>
      <c r="B125" s="68" t="s">
        <v>8083</v>
      </c>
      <c r="C125" s="88">
        <v>81</v>
      </c>
      <c r="D125" s="73" t="s">
        <v>8091</v>
      </c>
      <c r="E125" s="165" t="s">
        <v>19</v>
      </c>
      <c r="F125" s="74">
        <v>43214</v>
      </c>
      <c r="G125" s="95">
        <v>118.11</v>
      </c>
      <c r="H125" s="63"/>
      <c r="I125" s="63"/>
      <c r="J125" s="63"/>
      <c r="K125" s="133"/>
      <c r="L125" s="63"/>
      <c r="M125" s="63"/>
      <c r="N125" s="63"/>
      <c r="O125" s="63"/>
      <c r="P125" s="63"/>
      <c r="Q125" s="63">
        <f t="shared" si="3"/>
        <v>118.11</v>
      </c>
      <c r="R125" s="63">
        <f t="shared" si="4"/>
        <v>0</v>
      </c>
      <c r="S125" s="63">
        <f t="shared" si="5"/>
        <v>118.11</v>
      </c>
    </row>
    <row r="126" spans="1:19" s="77" customFormat="1" ht="12" x14ac:dyDescent="0.2">
      <c r="A126" s="68">
        <v>13416</v>
      </c>
      <c r="B126" s="68" t="s">
        <v>8083</v>
      </c>
      <c r="C126" s="88">
        <v>81</v>
      </c>
      <c r="D126" s="73" t="s">
        <v>8092</v>
      </c>
      <c r="E126" s="165" t="s">
        <v>19</v>
      </c>
      <c r="F126" s="74">
        <v>43214</v>
      </c>
      <c r="G126" s="95">
        <v>103.66</v>
      </c>
      <c r="H126" s="63"/>
      <c r="I126" s="63"/>
      <c r="J126" s="63"/>
      <c r="K126" s="133"/>
      <c r="L126" s="63"/>
      <c r="M126" s="63"/>
      <c r="N126" s="63"/>
      <c r="O126" s="63"/>
      <c r="P126" s="63"/>
      <c r="Q126" s="63">
        <f t="shared" si="3"/>
        <v>103.66</v>
      </c>
      <c r="R126" s="63">
        <f t="shared" si="4"/>
        <v>0</v>
      </c>
      <c r="S126" s="63">
        <f t="shared" si="5"/>
        <v>103.66</v>
      </c>
    </row>
    <row r="127" spans="1:19" s="77" customFormat="1" ht="12" x14ac:dyDescent="0.2">
      <c r="A127" s="68">
        <v>13416</v>
      </c>
      <c r="B127" s="68" t="s">
        <v>8083</v>
      </c>
      <c r="C127" s="88">
        <v>81</v>
      </c>
      <c r="D127" s="73" t="s">
        <v>8093</v>
      </c>
      <c r="E127" s="165" t="s">
        <v>19</v>
      </c>
      <c r="F127" s="74">
        <v>43214</v>
      </c>
      <c r="G127" s="95">
        <v>48</v>
      </c>
      <c r="H127" s="63"/>
      <c r="I127" s="63"/>
      <c r="J127" s="63"/>
      <c r="K127" s="133"/>
      <c r="L127" s="63"/>
      <c r="M127" s="63"/>
      <c r="N127" s="63"/>
      <c r="O127" s="63"/>
      <c r="P127" s="63"/>
      <c r="Q127" s="63">
        <f t="shared" si="3"/>
        <v>48</v>
      </c>
      <c r="R127" s="63">
        <f t="shared" si="4"/>
        <v>0</v>
      </c>
      <c r="S127" s="63">
        <f t="shared" si="5"/>
        <v>48</v>
      </c>
    </row>
    <row r="128" spans="1:19" s="77" customFormat="1" ht="12" x14ac:dyDescent="0.2">
      <c r="A128" s="68">
        <v>13416</v>
      </c>
      <c r="B128" s="68" t="s">
        <v>8083</v>
      </c>
      <c r="C128" s="88">
        <v>81</v>
      </c>
      <c r="D128" s="73" t="s">
        <v>8094</v>
      </c>
      <c r="E128" s="165" t="s">
        <v>19</v>
      </c>
      <c r="F128" s="74">
        <v>43214</v>
      </c>
      <c r="G128" s="95">
        <v>48.66</v>
      </c>
      <c r="H128" s="63"/>
      <c r="I128" s="63"/>
      <c r="J128" s="63"/>
      <c r="K128" s="133"/>
      <c r="L128" s="63"/>
      <c r="M128" s="63"/>
      <c r="N128" s="63"/>
      <c r="O128" s="63"/>
      <c r="P128" s="63"/>
      <c r="Q128" s="63">
        <f t="shared" si="3"/>
        <v>48.66</v>
      </c>
      <c r="R128" s="63">
        <f t="shared" si="4"/>
        <v>0</v>
      </c>
      <c r="S128" s="63">
        <f t="shared" si="5"/>
        <v>48.66</v>
      </c>
    </row>
    <row r="129" spans="1:19" s="77" customFormat="1" ht="12" x14ac:dyDescent="0.2">
      <c r="A129" s="68">
        <v>10288</v>
      </c>
      <c r="B129" s="68" t="s">
        <v>8084</v>
      </c>
      <c r="C129" s="88">
        <v>82</v>
      </c>
      <c r="D129" s="73" t="s">
        <v>8095</v>
      </c>
      <c r="E129" s="165" t="s">
        <v>19</v>
      </c>
      <c r="F129" s="74">
        <v>43214</v>
      </c>
      <c r="G129" s="95">
        <f>567.7+168.4+283.38+90</f>
        <v>1109.48</v>
      </c>
      <c r="H129" s="63"/>
      <c r="I129" s="63"/>
      <c r="J129" s="63"/>
      <c r="K129" s="133"/>
      <c r="L129" s="63"/>
      <c r="M129" s="63"/>
      <c r="N129" s="63"/>
      <c r="O129" s="63"/>
      <c r="P129" s="63"/>
      <c r="Q129" s="63">
        <f t="shared" si="3"/>
        <v>1109.48</v>
      </c>
      <c r="R129" s="63">
        <f t="shared" si="4"/>
        <v>0</v>
      </c>
      <c r="S129" s="63">
        <f t="shared" si="5"/>
        <v>1109.48</v>
      </c>
    </row>
    <row r="130" spans="1:19" s="77" customFormat="1" ht="12" x14ac:dyDescent="0.2">
      <c r="A130" s="68">
        <v>10288</v>
      </c>
      <c r="B130" s="68" t="s">
        <v>8084</v>
      </c>
      <c r="C130" s="88">
        <v>82</v>
      </c>
      <c r="D130" s="73" t="s">
        <v>8096</v>
      </c>
      <c r="E130" s="165" t="s">
        <v>19</v>
      </c>
      <c r="F130" s="74">
        <v>43214</v>
      </c>
      <c r="G130" s="95">
        <v>90</v>
      </c>
      <c r="H130" s="63"/>
      <c r="I130" s="63"/>
      <c r="J130" s="63"/>
      <c r="K130" s="133"/>
      <c r="L130" s="63"/>
      <c r="M130" s="63"/>
      <c r="N130" s="63"/>
      <c r="O130" s="63"/>
      <c r="P130" s="63"/>
      <c r="Q130" s="63">
        <f t="shared" si="3"/>
        <v>90</v>
      </c>
      <c r="R130" s="63">
        <f t="shared" si="4"/>
        <v>0</v>
      </c>
      <c r="S130" s="63">
        <f t="shared" si="5"/>
        <v>90</v>
      </c>
    </row>
    <row r="131" spans="1:19" s="77" customFormat="1" ht="12" x14ac:dyDescent="0.2">
      <c r="A131" s="68">
        <v>3780</v>
      </c>
      <c r="B131" s="68" t="s">
        <v>8085</v>
      </c>
      <c r="C131" s="88">
        <v>83</v>
      </c>
      <c r="D131" s="73" t="s">
        <v>8097</v>
      </c>
      <c r="E131" s="165" t="s">
        <v>19</v>
      </c>
      <c r="F131" s="74">
        <v>43216</v>
      </c>
      <c r="G131" s="95">
        <f>187.62+2.83</f>
        <v>190.45000000000002</v>
      </c>
      <c r="H131" s="63"/>
      <c r="I131" s="63"/>
      <c r="J131" s="63"/>
      <c r="K131" s="133"/>
      <c r="L131" s="63"/>
      <c r="M131" s="63"/>
      <c r="N131" s="63"/>
      <c r="O131" s="63"/>
      <c r="P131" s="63"/>
      <c r="Q131" s="63">
        <f t="shared" si="3"/>
        <v>190.45000000000002</v>
      </c>
      <c r="R131" s="63">
        <f t="shared" si="4"/>
        <v>0</v>
      </c>
      <c r="S131" s="63">
        <f t="shared" si="5"/>
        <v>190.45000000000002</v>
      </c>
    </row>
    <row r="132" spans="1:19" s="77" customFormat="1" ht="12" x14ac:dyDescent="0.2">
      <c r="A132" s="68">
        <v>3780</v>
      </c>
      <c r="B132" s="68" t="s">
        <v>8085</v>
      </c>
      <c r="C132" s="88">
        <v>83</v>
      </c>
      <c r="D132" s="73" t="s">
        <v>8098</v>
      </c>
      <c r="E132" s="165" t="s">
        <v>19</v>
      </c>
      <c r="F132" s="74">
        <v>43216</v>
      </c>
      <c r="G132" s="95">
        <v>47.2</v>
      </c>
      <c r="H132" s="63"/>
      <c r="I132" s="63"/>
      <c r="J132" s="63"/>
      <c r="K132" s="133"/>
      <c r="L132" s="63"/>
      <c r="M132" s="63"/>
      <c r="N132" s="63"/>
      <c r="O132" s="63"/>
      <c r="P132" s="63"/>
      <c r="Q132" s="63">
        <f t="shared" si="3"/>
        <v>47.2</v>
      </c>
      <c r="R132" s="63">
        <f t="shared" si="4"/>
        <v>0</v>
      </c>
      <c r="S132" s="63">
        <f t="shared" si="5"/>
        <v>47.2</v>
      </c>
    </row>
    <row r="133" spans="1:19" s="77" customFormat="1" ht="12" x14ac:dyDescent="0.2">
      <c r="A133" s="68">
        <v>12614</v>
      </c>
      <c r="B133" s="68" t="s">
        <v>8086</v>
      </c>
      <c r="C133" s="88">
        <v>84</v>
      </c>
      <c r="D133" s="73" t="s">
        <v>8099</v>
      </c>
      <c r="E133" s="165" t="s">
        <v>19</v>
      </c>
      <c r="F133" s="74">
        <v>43217</v>
      </c>
      <c r="G133" s="95">
        <f>82.9+1198.25</f>
        <v>1281.1500000000001</v>
      </c>
      <c r="H133" s="63"/>
      <c r="I133" s="63">
        <v>496</v>
      </c>
      <c r="J133" s="63"/>
      <c r="K133" s="133"/>
      <c r="L133" s="63"/>
      <c r="M133" s="63"/>
      <c r="N133" s="63"/>
      <c r="O133" s="63"/>
      <c r="P133" s="63"/>
      <c r="Q133" s="63">
        <f t="shared" si="3"/>
        <v>1777.15</v>
      </c>
      <c r="R133" s="63">
        <f t="shared" si="4"/>
        <v>0</v>
      </c>
      <c r="S133" s="63">
        <f t="shared" si="5"/>
        <v>1777.15</v>
      </c>
    </row>
    <row r="134" spans="1:19" s="77" customFormat="1" ht="12" x14ac:dyDescent="0.2">
      <c r="A134" s="68">
        <v>14236</v>
      </c>
      <c r="B134" s="68" t="s">
        <v>8087</v>
      </c>
      <c r="C134" s="88">
        <v>85</v>
      </c>
      <c r="D134" s="73" t="s">
        <v>8100</v>
      </c>
      <c r="E134" s="165" t="s">
        <v>4064</v>
      </c>
      <c r="F134" s="74">
        <v>43218</v>
      </c>
      <c r="G134" s="95">
        <f>124+20</f>
        <v>144</v>
      </c>
      <c r="H134" s="63"/>
      <c r="I134" s="63"/>
      <c r="J134" s="63"/>
      <c r="K134" s="133"/>
      <c r="L134" s="63"/>
      <c r="M134" s="63"/>
      <c r="N134" s="63"/>
      <c r="O134" s="63"/>
      <c r="P134" s="63"/>
      <c r="Q134" s="63">
        <f t="shared" si="3"/>
        <v>144</v>
      </c>
      <c r="R134" s="63">
        <f t="shared" si="4"/>
        <v>0</v>
      </c>
      <c r="S134" s="63">
        <f t="shared" si="5"/>
        <v>144</v>
      </c>
    </row>
    <row r="135" spans="1:19" s="77" customFormat="1" ht="12" x14ac:dyDescent="0.2">
      <c r="A135" s="68" t="s">
        <v>8678</v>
      </c>
      <c r="B135" s="68" t="s">
        <v>8088</v>
      </c>
      <c r="C135" s="88">
        <v>86</v>
      </c>
      <c r="D135" s="73" t="s">
        <v>8417</v>
      </c>
      <c r="E135" s="165" t="s">
        <v>4064</v>
      </c>
      <c r="F135" s="74">
        <v>43218</v>
      </c>
      <c r="G135" s="95">
        <f>100+221</f>
        <v>321</v>
      </c>
      <c r="H135" s="63"/>
      <c r="I135" s="63"/>
      <c r="J135" s="63"/>
      <c r="K135" s="133"/>
      <c r="L135" s="63"/>
      <c r="M135" s="63"/>
      <c r="N135" s="63"/>
      <c r="O135" s="63"/>
      <c r="P135" s="63"/>
      <c r="Q135" s="63">
        <f t="shared" si="3"/>
        <v>321</v>
      </c>
      <c r="R135" s="63">
        <f t="shared" si="4"/>
        <v>0</v>
      </c>
      <c r="S135" s="63">
        <f t="shared" si="5"/>
        <v>321</v>
      </c>
    </row>
    <row r="136" spans="1:19" s="77" customFormat="1" ht="12" x14ac:dyDescent="0.2">
      <c r="A136" s="68" t="s">
        <v>8679</v>
      </c>
      <c r="B136" s="68" t="s">
        <v>8101</v>
      </c>
      <c r="C136" s="88">
        <v>87</v>
      </c>
      <c r="D136" s="73" t="s">
        <v>8106</v>
      </c>
      <c r="E136" s="165" t="s">
        <v>19</v>
      </c>
      <c r="F136" s="74">
        <v>43218</v>
      </c>
      <c r="G136" s="95">
        <f>41.3+6701.22+166.55+114.28+89.04+155</f>
        <v>7267.39</v>
      </c>
      <c r="H136" s="63"/>
      <c r="I136" s="63">
        <f>1860+930</f>
        <v>2790</v>
      </c>
      <c r="J136" s="63"/>
      <c r="K136" s="133"/>
      <c r="L136" s="63"/>
      <c r="M136" s="63"/>
      <c r="N136" s="63"/>
      <c r="O136" s="63"/>
      <c r="P136" s="63"/>
      <c r="Q136" s="63">
        <f t="shared" ref="Q136:Q199" si="6">+G136+I136+K136+M136+O136</f>
        <v>10057.39</v>
      </c>
      <c r="R136" s="63">
        <f t="shared" ref="R136:R199" si="7">+H136+J136+L136+N136+P136</f>
        <v>0</v>
      </c>
      <c r="S136" s="63">
        <f t="shared" ref="S136:S199" si="8">+Q136+R136</f>
        <v>10057.39</v>
      </c>
    </row>
    <row r="137" spans="1:19" s="77" customFormat="1" ht="12" x14ac:dyDescent="0.2">
      <c r="A137" s="68" t="s">
        <v>8679</v>
      </c>
      <c r="B137" s="68" t="s">
        <v>8101</v>
      </c>
      <c r="C137" s="88">
        <v>87</v>
      </c>
      <c r="D137" s="73" t="s">
        <v>8107</v>
      </c>
      <c r="E137" s="165" t="s">
        <v>19</v>
      </c>
      <c r="F137" s="74">
        <v>43218</v>
      </c>
      <c r="G137" s="95">
        <f>194.81+41.3+41.3+272.56</f>
        <v>549.97</v>
      </c>
      <c r="H137" s="63"/>
      <c r="I137" s="63"/>
      <c r="J137" s="63"/>
      <c r="K137" s="133"/>
      <c r="L137" s="63"/>
      <c r="M137" s="63"/>
      <c r="N137" s="63"/>
      <c r="O137" s="63"/>
      <c r="P137" s="63"/>
      <c r="Q137" s="63">
        <f t="shared" si="6"/>
        <v>549.97</v>
      </c>
      <c r="R137" s="63">
        <f t="shared" si="7"/>
        <v>0</v>
      </c>
      <c r="S137" s="63">
        <f t="shared" si="8"/>
        <v>549.97</v>
      </c>
    </row>
    <row r="138" spans="1:19" s="77" customFormat="1" ht="12" x14ac:dyDescent="0.2">
      <c r="A138" s="68" t="s">
        <v>8680</v>
      </c>
      <c r="B138" s="68" t="s">
        <v>8102</v>
      </c>
      <c r="C138" s="88">
        <v>88</v>
      </c>
      <c r="D138" s="73" t="s">
        <v>8108</v>
      </c>
      <c r="E138" s="165" t="s">
        <v>19</v>
      </c>
      <c r="F138" s="74">
        <v>43218</v>
      </c>
      <c r="G138" s="95">
        <v>209.38</v>
      </c>
      <c r="H138" s="63"/>
      <c r="I138" s="63"/>
      <c r="J138" s="63"/>
      <c r="K138" s="133"/>
      <c r="L138" s="63"/>
      <c r="M138" s="63"/>
      <c r="N138" s="63"/>
      <c r="O138" s="63"/>
      <c r="P138" s="63"/>
      <c r="Q138" s="63">
        <f t="shared" si="6"/>
        <v>209.38</v>
      </c>
      <c r="R138" s="63">
        <f t="shared" si="7"/>
        <v>0</v>
      </c>
      <c r="S138" s="63">
        <f t="shared" si="8"/>
        <v>209.38</v>
      </c>
    </row>
    <row r="139" spans="1:19" s="77" customFormat="1" ht="12" x14ac:dyDescent="0.2">
      <c r="A139" s="68">
        <v>9837</v>
      </c>
      <c r="B139" s="68" t="s">
        <v>8103</v>
      </c>
      <c r="C139" s="88">
        <v>89</v>
      </c>
      <c r="D139" s="73" t="s">
        <v>8109</v>
      </c>
      <c r="E139" s="165" t="s">
        <v>19</v>
      </c>
      <c r="F139" s="74">
        <v>43218</v>
      </c>
      <c r="G139" s="95">
        <v>115</v>
      </c>
      <c r="H139" s="63"/>
      <c r="I139" s="63"/>
      <c r="J139" s="63"/>
      <c r="K139" s="133"/>
      <c r="L139" s="63"/>
      <c r="M139" s="63"/>
      <c r="N139" s="63"/>
      <c r="O139" s="63"/>
      <c r="P139" s="63"/>
      <c r="Q139" s="63">
        <f t="shared" si="6"/>
        <v>115</v>
      </c>
      <c r="R139" s="63">
        <f t="shared" si="7"/>
        <v>0</v>
      </c>
      <c r="S139" s="63">
        <f t="shared" si="8"/>
        <v>115</v>
      </c>
    </row>
    <row r="140" spans="1:19" s="77" customFormat="1" ht="12" x14ac:dyDescent="0.2">
      <c r="A140" s="68">
        <v>9837</v>
      </c>
      <c r="B140" s="68" t="s">
        <v>8103</v>
      </c>
      <c r="C140" s="88">
        <v>89</v>
      </c>
      <c r="D140" s="73" t="s">
        <v>8110</v>
      </c>
      <c r="E140" s="165" t="s">
        <v>19</v>
      </c>
      <c r="F140" s="74">
        <v>43218</v>
      </c>
      <c r="G140" s="95">
        <v>281</v>
      </c>
      <c r="H140" s="63"/>
      <c r="I140" s="63"/>
      <c r="J140" s="63"/>
      <c r="K140" s="133"/>
      <c r="L140" s="63"/>
      <c r="M140" s="63"/>
      <c r="N140" s="63"/>
      <c r="O140" s="63"/>
      <c r="P140" s="63"/>
      <c r="Q140" s="63">
        <f t="shared" si="6"/>
        <v>281</v>
      </c>
      <c r="R140" s="63">
        <f t="shared" si="7"/>
        <v>0</v>
      </c>
      <c r="S140" s="63">
        <f t="shared" si="8"/>
        <v>281</v>
      </c>
    </row>
    <row r="141" spans="1:19" s="77" customFormat="1" ht="12" x14ac:dyDescent="0.2">
      <c r="A141" s="68">
        <v>9837</v>
      </c>
      <c r="B141" s="68" t="s">
        <v>8103</v>
      </c>
      <c r="C141" s="88">
        <v>89</v>
      </c>
      <c r="D141" s="73" t="s">
        <v>8111</v>
      </c>
      <c r="E141" s="165" t="s">
        <v>19</v>
      </c>
      <c r="F141" s="74">
        <v>43218</v>
      </c>
      <c r="G141" s="95">
        <v>154</v>
      </c>
      <c r="H141" s="63"/>
      <c r="I141" s="63"/>
      <c r="J141" s="63"/>
      <c r="K141" s="133"/>
      <c r="L141" s="63"/>
      <c r="M141" s="63"/>
      <c r="N141" s="63"/>
      <c r="O141" s="63"/>
      <c r="P141" s="63"/>
      <c r="Q141" s="63">
        <f t="shared" si="6"/>
        <v>154</v>
      </c>
      <c r="R141" s="63">
        <f t="shared" si="7"/>
        <v>0</v>
      </c>
      <c r="S141" s="63">
        <f t="shared" si="8"/>
        <v>154</v>
      </c>
    </row>
    <row r="142" spans="1:19" s="77" customFormat="1" ht="12" x14ac:dyDescent="0.2">
      <c r="A142" s="68">
        <v>9837</v>
      </c>
      <c r="B142" s="68" t="s">
        <v>8103</v>
      </c>
      <c r="C142" s="88">
        <v>89</v>
      </c>
      <c r="D142" s="73" t="s">
        <v>8112</v>
      </c>
      <c r="E142" s="165" t="s">
        <v>19</v>
      </c>
      <c r="F142" s="74">
        <v>43218</v>
      </c>
      <c r="G142" s="95">
        <v>40</v>
      </c>
      <c r="H142" s="63"/>
      <c r="I142" s="63"/>
      <c r="J142" s="63"/>
      <c r="K142" s="133"/>
      <c r="L142" s="63"/>
      <c r="M142" s="63"/>
      <c r="N142" s="63"/>
      <c r="O142" s="63"/>
      <c r="P142" s="63"/>
      <c r="Q142" s="63">
        <f t="shared" si="6"/>
        <v>40</v>
      </c>
      <c r="R142" s="63">
        <f t="shared" si="7"/>
        <v>0</v>
      </c>
      <c r="S142" s="63">
        <f t="shared" si="8"/>
        <v>40</v>
      </c>
    </row>
    <row r="143" spans="1:19" s="77" customFormat="1" ht="12" x14ac:dyDescent="0.2">
      <c r="A143" s="68">
        <v>11188</v>
      </c>
      <c r="B143" s="68" t="s">
        <v>8104</v>
      </c>
      <c r="C143" s="88">
        <v>90</v>
      </c>
      <c r="D143" s="73" t="s">
        <v>8113</v>
      </c>
      <c r="E143" s="165" t="s">
        <v>19</v>
      </c>
      <c r="F143" s="74">
        <v>43220</v>
      </c>
      <c r="G143" s="95">
        <f>238+412.13</f>
        <v>650.13</v>
      </c>
      <c r="H143" s="63"/>
      <c r="I143" s="63"/>
      <c r="J143" s="63"/>
      <c r="K143" s="133"/>
      <c r="L143" s="63"/>
      <c r="M143" s="63"/>
      <c r="N143" s="63"/>
      <c r="O143" s="63"/>
      <c r="P143" s="63"/>
      <c r="Q143" s="63">
        <f t="shared" si="6"/>
        <v>650.13</v>
      </c>
      <c r="R143" s="63">
        <f t="shared" si="7"/>
        <v>0</v>
      </c>
      <c r="S143" s="63">
        <f t="shared" si="8"/>
        <v>650.13</v>
      </c>
    </row>
    <row r="144" spans="1:19" s="77" customFormat="1" ht="12" x14ac:dyDescent="0.2">
      <c r="A144" s="68">
        <v>10164</v>
      </c>
      <c r="B144" s="68" t="s">
        <v>8105</v>
      </c>
      <c r="C144" s="88">
        <v>91</v>
      </c>
      <c r="D144" s="73" t="s">
        <v>8114</v>
      </c>
      <c r="E144" s="165" t="s">
        <v>19</v>
      </c>
      <c r="F144" s="74">
        <v>43220</v>
      </c>
      <c r="G144" s="95">
        <f>1922.14+775.47+41.3+246.97+86.87+3025.17+41.3+71.89+41.3+129.99+41.3</f>
        <v>6423.7000000000007</v>
      </c>
      <c r="H144" s="63"/>
      <c r="I144" s="63"/>
      <c r="J144" s="63"/>
      <c r="K144" s="133"/>
      <c r="L144" s="63"/>
      <c r="M144" s="63"/>
      <c r="N144" s="63"/>
      <c r="O144" s="63"/>
      <c r="P144" s="63"/>
      <c r="Q144" s="63">
        <f t="shared" si="6"/>
        <v>6423.7000000000007</v>
      </c>
      <c r="R144" s="63">
        <f t="shared" si="7"/>
        <v>0</v>
      </c>
      <c r="S144" s="63">
        <f t="shared" si="8"/>
        <v>6423.7000000000007</v>
      </c>
    </row>
    <row r="145" spans="1:19" s="77" customFormat="1" ht="12" x14ac:dyDescent="0.2">
      <c r="A145" s="68">
        <v>17359</v>
      </c>
      <c r="B145" s="68" t="s">
        <v>547</v>
      </c>
      <c r="C145" s="88">
        <v>92</v>
      </c>
      <c r="D145" s="73" t="s">
        <v>8122</v>
      </c>
      <c r="E145" s="165" t="s">
        <v>19</v>
      </c>
      <c r="F145" s="74">
        <v>43222</v>
      </c>
      <c r="G145" s="95">
        <f>238+317.16+535.83+2867.31+300</f>
        <v>4258.3</v>
      </c>
      <c r="H145" s="63"/>
      <c r="I145" s="63">
        <f>930+1395</f>
        <v>2325</v>
      </c>
      <c r="J145" s="63"/>
      <c r="K145" s="133"/>
      <c r="L145" s="63"/>
      <c r="M145" s="63"/>
      <c r="N145" s="63"/>
      <c r="O145" s="63"/>
      <c r="P145" s="63"/>
      <c r="Q145" s="63">
        <f t="shared" si="6"/>
        <v>6583.3</v>
      </c>
      <c r="R145" s="63">
        <f t="shared" si="7"/>
        <v>0</v>
      </c>
      <c r="S145" s="63">
        <f t="shared" si="8"/>
        <v>6583.3</v>
      </c>
    </row>
    <row r="146" spans="1:19" s="77" customFormat="1" ht="12" x14ac:dyDescent="0.2">
      <c r="A146" s="68">
        <v>16378</v>
      </c>
      <c r="B146" s="68" t="s">
        <v>8115</v>
      </c>
      <c r="C146" s="88">
        <v>93</v>
      </c>
      <c r="D146" s="73" t="s">
        <v>8123</v>
      </c>
      <c r="E146" s="165" t="s">
        <v>19</v>
      </c>
      <c r="F146" s="74">
        <v>43222</v>
      </c>
      <c r="G146" s="95">
        <f>331.3+126.35+41.3+909.34+105.1+41.3</f>
        <v>1554.6899999999998</v>
      </c>
      <c r="H146" s="63"/>
      <c r="I146" s="63">
        <v>1209</v>
      </c>
      <c r="J146" s="63"/>
      <c r="K146" s="133"/>
      <c r="L146" s="63"/>
      <c r="M146" s="63"/>
      <c r="N146" s="63"/>
      <c r="O146" s="63"/>
      <c r="P146" s="63"/>
      <c r="Q146" s="63">
        <f t="shared" si="6"/>
        <v>2763.6899999999996</v>
      </c>
      <c r="R146" s="63">
        <f t="shared" si="7"/>
        <v>0</v>
      </c>
      <c r="S146" s="63">
        <f t="shared" si="8"/>
        <v>2763.6899999999996</v>
      </c>
    </row>
    <row r="147" spans="1:19" s="77" customFormat="1" ht="12" x14ac:dyDescent="0.2">
      <c r="A147" s="68" t="s">
        <v>8681</v>
      </c>
      <c r="B147" s="68" t="s">
        <v>8116</v>
      </c>
      <c r="C147" s="88">
        <v>94</v>
      </c>
      <c r="D147" s="73" t="s">
        <v>8124</v>
      </c>
      <c r="E147" s="165" t="s">
        <v>19</v>
      </c>
      <c r="F147" s="74">
        <v>43223</v>
      </c>
      <c r="G147" s="95"/>
      <c r="H147" s="63"/>
      <c r="I147" s="63"/>
      <c r="J147" s="63"/>
      <c r="K147" s="133"/>
      <c r="L147" s="63"/>
      <c r="M147" s="63">
        <v>4150</v>
      </c>
      <c r="N147" s="63"/>
      <c r="O147" s="63">
        <v>16600</v>
      </c>
      <c r="P147" s="63"/>
      <c r="Q147" s="63">
        <f t="shared" si="6"/>
        <v>20750</v>
      </c>
      <c r="R147" s="63">
        <f t="shared" si="7"/>
        <v>0</v>
      </c>
      <c r="S147" s="63">
        <f t="shared" si="8"/>
        <v>20750</v>
      </c>
    </row>
    <row r="148" spans="1:19" s="77" customFormat="1" ht="12" x14ac:dyDescent="0.2">
      <c r="A148" s="68">
        <v>9750</v>
      </c>
      <c r="B148" s="68" t="s">
        <v>8117</v>
      </c>
      <c r="C148" s="88">
        <v>95</v>
      </c>
      <c r="D148" s="73" t="s">
        <v>8125</v>
      </c>
      <c r="E148" s="165" t="s">
        <v>19</v>
      </c>
      <c r="F148" s="74">
        <v>43227</v>
      </c>
      <c r="G148" s="95">
        <f>0.65+110.92</f>
        <v>111.57000000000001</v>
      </c>
      <c r="H148" s="63"/>
      <c r="I148" s="63"/>
      <c r="J148" s="63"/>
      <c r="K148" s="133"/>
      <c r="L148" s="63"/>
      <c r="M148" s="63"/>
      <c r="N148" s="63"/>
      <c r="O148" s="63"/>
      <c r="P148" s="63"/>
      <c r="Q148" s="63">
        <f t="shared" si="6"/>
        <v>111.57000000000001</v>
      </c>
      <c r="R148" s="63">
        <f t="shared" si="7"/>
        <v>0</v>
      </c>
      <c r="S148" s="63">
        <f t="shared" si="8"/>
        <v>111.57000000000001</v>
      </c>
    </row>
    <row r="149" spans="1:19" s="77" customFormat="1" ht="12" x14ac:dyDescent="0.2">
      <c r="A149" s="68">
        <v>9750</v>
      </c>
      <c r="B149" s="68" t="s">
        <v>8117</v>
      </c>
      <c r="C149" s="88">
        <v>95</v>
      </c>
      <c r="D149" s="73" t="s">
        <v>8126</v>
      </c>
      <c r="E149" s="165" t="s">
        <v>19</v>
      </c>
      <c r="F149" s="74">
        <v>43227</v>
      </c>
      <c r="G149" s="95">
        <f>1.18+82.6</f>
        <v>83.78</v>
      </c>
      <c r="H149" s="63"/>
      <c r="I149" s="63"/>
      <c r="J149" s="63"/>
      <c r="K149" s="133"/>
      <c r="L149" s="63"/>
      <c r="M149" s="63"/>
      <c r="N149" s="63"/>
      <c r="O149" s="63"/>
      <c r="P149" s="63"/>
      <c r="Q149" s="63">
        <f t="shared" si="6"/>
        <v>83.78</v>
      </c>
      <c r="R149" s="63">
        <f t="shared" si="7"/>
        <v>0</v>
      </c>
      <c r="S149" s="63">
        <f t="shared" si="8"/>
        <v>83.78</v>
      </c>
    </row>
    <row r="150" spans="1:19" s="77" customFormat="1" ht="12" x14ac:dyDescent="0.2">
      <c r="A150" s="68">
        <v>9750</v>
      </c>
      <c r="B150" s="68" t="s">
        <v>8117</v>
      </c>
      <c r="C150" s="88">
        <v>95</v>
      </c>
      <c r="D150" s="73" t="s">
        <v>8127</v>
      </c>
      <c r="E150" s="165" t="s">
        <v>19</v>
      </c>
      <c r="F150" s="74">
        <v>43227</v>
      </c>
      <c r="G150" s="95">
        <f>1.18+103.84</f>
        <v>105.02000000000001</v>
      </c>
      <c r="H150" s="63"/>
      <c r="I150" s="63"/>
      <c r="J150" s="63"/>
      <c r="K150" s="133"/>
      <c r="L150" s="63"/>
      <c r="M150" s="63"/>
      <c r="N150" s="63"/>
      <c r="O150" s="63"/>
      <c r="P150" s="63"/>
      <c r="Q150" s="63">
        <f t="shared" si="6"/>
        <v>105.02000000000001</v>
      </c>
      <c r="R150" s="63">
        <f t="shared" si="7"/>
        <v>0</v>
      </c>
      <c r="S150" s="63">
        <f t="shared" si="8"/>
        <v>105.02000000000001</v>
      </c>
    </row>
    <row r="151" spans="1:19" s="77" customFormat="1" ht="12" x14ac:dyDescent="0.2">
      <c r="A151" s="68" t="s">
        <v>8682</v>
      </c>
      <c r="B151" s="68" t="s">
        <v>7291</v>
      </c>
      <c r="C151" s="88">
        <v>96</v>
      </c>
      <c r="D151" s="73" t="s">
        <v>8128</v>
      </c>
      <c r="E151" s="165" t="s">
        <v>19</v>
      </c>
      <c r="F151" s="74">
        <v>43227</v>
      </c>
      <c r="G151" s="95">
        <f>238+265.97</f>
        <v>503.97</v>
      </c>
      <c r="H151" s="63"/>
      <c r="I151" s="63"/>
      <c r="J151" s="63"/>
      <c r="K151" s="133"/>
      <c r="L151" s="63"/>
      <c r="M151" s="63"/>
      <c r="N151" s="63"/>
      <c r="O151" s="63"/>
      <c r="P151" s="63"/>
      <c r="Q151" s="63">
        <f t="shared" si="6"/>
        <v>503.97</v>
      </c>
      <c r="R151" s="63">
        <f t="shared" si="7"/>
        <v>0</v>
      </c>
      <c r="S151" s="63">
        <f t="shared" si="8"/>
        <v>503.97</v>
      </c>
    </row>
    <row r="152" spans="1:19" s="77" customFormat="1" ht="12" x14ac:dyDescent="0.2">
      <c r="A152" s="68" t="s">
        <v>8682</v>
      </c>
      <c r="B152" s="68" t="s">
        <v>7291</v>
      </c>
      <c r="C152" s="88">
        <v>96</v>
      </c>
      <c r="D152" s="73" t="s">
        <v>8129</v>
      </c>
      <c r="E152" s="165" t="s">
        <v>19</v>
      </c>
      <c r="F152" s="74">
        <v>43227</v>
      </c>
      <c r="G152" s="95">
        <v>48.66</v>
      </c>
      <c r="H152" s="63"/>
      <c r="I152" s="63"/>
      <c r="J152" s="63"/>
      <c r="K152" s="133"/>
      <c r="L152" s="63"/>
      <c r="M152" s="63"/>
      <c r="N152" s="63"/>
      <c r="O152" s="63"/>
      <c r="P152" s="63"/>
      <c r="Q152" s="63">
        <f t="shared" si="6"/>
        <v>48.66</v>
      </c>
      <c r="R152" s="63">
        <f t="shared" si="7"/>
        <v>0</v>
      </c>
      <c r="S152" s="63">
        <f t="shared" si="8"/>
        <v>48.66</v>
      </c>
    </row>
    <row r="153" spans="1:19" s="77" customFormat="1" ht="12" x14ac:dyDescent="0.2">
      <c r="A153" s="68" t="s">
        <v>8682</v>
      </c>
      <c r="B153" s="68" t="s">
        <v>7291</v>
      </c>
      <c r="C153" s="88">
        <v>96</v>
      </c>
      <c r="D153" s="73" t="s">
        <v>8130</v>
      </c>
      <c r="E153" s="165" t="s">
        <v>19</v>
      </c>
      <c r="F153" s="74">
        <v>43227</v>
      </c>
      <c r="G153" s="95">
        <v>52.6</v>
      </c>
      <c r="H153" s="63"/>
      <c r="I153" s="63"/>
      <c r="J153" s="63"/>
      <c r="K153" s="133"/>
      <c r="L153" s="63"/>
      <c r="M153" s="63"/>
      <c r="N153" s="63"/>
      <c r="O153" s="63"/>
      <c r="P153" s="63"/>
      <c r="Q153" s="63">
        <f t="shared" si="6"/>
        <v>52.6</v>
      </c>
      <c r="R153" s="63">
        <f t="shared" si="7"/>
        <v>0</v>
      </c>
      <c r="S153" s="63">
        <f t="shared" si="8"/>
        <v>52.6</v>
      </c>
    </row>
    <row r="154" spans="1:19" s="77" customFormat="1" ht="12" x14ac:dyDescent="0.2">
      <c r="A154" s="68" t="s">
        <v>8683</v>
      </c>
      <c r="B154" s="68" t="s">
        <v>8118</v>
      </c>
      <c r="C154" s="88">
        <v>97</v>
      </c>
      <c r="D154" s="73" t="s">
        <v>8131</v>
      </c>
      <c r="E154" s="165" t="s">
        <v>19</v>
      </c>
      <c r="F154" s="74">
        <v>43229</v>
      </c>
      <c r="G154" s="95">
        <f>117.9+1.77+224.2</f>
        <v>343.87</v>
      </c>
      <c r="H154" s="63"/>
      <c r="I154" s="63"/>
      <c r="J154" s="63"/>
      <c r="K154" s="133"/>
      <c r="L154" s="63"/>
      <c r="M154" s="63"/>
      <c r="N154" s="63"/>
      <c r="O154" s="63"/>
      <c r="P154" s="63"/>
      <c r="Q154" s="63">
        <f t="shared" si="6"/>
        <v>343.87</v>
      </c>
      <c r="R154" s="63">
        <f t="shared" si="7"/>
        <v>0</v>
      </c>
      <c r="S154" s="63">
        <f t="shared" si="8"/>
        <v>343.87</v>
      </c>
    </row>
    <row r="155" spans="1:19" s="77" customFormat="1" ht="12" x14ac:dyDescent="0.2">
      <c r="A155" s="68">
        <v>8681</v>
      </c>
      <c r="B155" s="68" t="s">
        <v>8119</v>
      </c>
      <c r="C155" s="88">
        <v>98</v>
      </c>
      <c r="D155" s="73" t="s">
        <v>8295</v>
      </c>
      <c r="E155" s="165" t="s">
        <v>19</v>
      </c>
      <c r="F155" s="74">
        <v>43231</v>
      </c>
      <c r="G155" s="95">
        <f>700+234.97+126.05+246.82+100.15+75.83+437.07+75.83+558+375.71+285.32+41.3+238.14+65</f>
        <v>3560.19</v>
      </c>
      <c r="H155" s="63"/>
      <c r="I155" s="63">
        <v>930</v>
      </c>
      <c r="J155" s="63"/>
      <c r="K155" s="133"/>
      <c r="L155" s="63"/>
      <c r="M155" s="63"/>
      <c r="N155" s="63"/>
      <c r="O155" s="63"/>
      <c r="P155" s="63"/>
      <c r="Q155" s="63">
        <f t="shared" si="6"/>
        <v>4490.1900000000005</v>
      </c>
      <c r="R155" s="63">
        <f t="shared" si="7"/>
        <v>0</v>
      </c>
      <c r="S155" s="63">
        <f t="shared" si="8"/>
        <v>4490.1900000000005</v>
      </c>
    </row>
    <row r="156" spans="1:19" s="77" customFormat="1" ht="12" x14ac:dyDescent="0.2">
      <c r="A156" s="68">
        <v>8681</v>
      </c>
      <c r="B156" s="68" t="s">
        <v>8119</v>
      </c>
      <c r="C156" s="88">
        <v>98</v>
      </c>
      <c r="D156" s="73" t="s">
        <v>8132</v>
      </c>
      <c r="E156" s="165" t="s">
        <v>19</v>
      </c>
      <c r="F156" s="74">
        <v>43231</v>
      </c>
      <c r="G156" s="95">
        <f>173+242.75+168.7+173.73+41.3</f>
        <v>799.48</v>
      </c>
      <c r="H156" s="63"/>
      <c r="I156" s="63">
        <v>1209</v>
      </c>
      <c r="J156" s="63"/>
      <c r="K156" s="133"/>
      <c r="L156" s="63"/>
      <c r="M156" s="63"/>
      <c r="N156" s="63"/>
      <c r="O156" s="63"/>
      <c r="P156" s="63"/>
      <c r="Q156" s="63">
        <f t="shared" si="6"/>
        <v>2008.48</v>
      </c>
      <c r="R156" s="63">
        <f t="shared" si="7"/>
        <v>0</v>
      </c>
      <c r="S156" s="63">
        <f t="shared" si="8"/>
        <v>2008.48</v>
      </c>
    </row>
    <row r="157" spans="1:19" s="77" customFormat="1" ht="12" x14ac:dyDescent="0.2">
      <c r="A157" s="68">
        <v>8681</v>
      </c>
      <c r="B157" s="68" t="s">
        <v>8119</v>
      </c>
      <c r="C157" s="88">
        <v>98</v>
      </c>
      <c r="D157" s="73" t="s">
        <v>8133</v>
      </c>
      <c r="E157" s="165" t="s">
        <v>19</v>
      </c>
      <c r="F157" s="74">
        <v>43231</v>
      </c>
      <c r="G157" s="95">
        <f>131.96+145.66+94.3</f>
        <v>371.92</v>
      </c>
      <c r="H157" s="63"/>
      <c r="I157" s="63">
        <v>155</v>
      </c>
      <c r="J157" s="63"/>
      <c r="K157" s="133"/>
      <c r="L157" s="63"/>
      <c r="M157" s="63"/>
      <c r="N157" s="63"/>
      <c r="O157" s="63"/>
      <c r="P157" s="63"/>
      <c r="Q157" s="63">
        <f t="shared" si="6"/>
        <v>526.92000000000007</v>
      </c>
      <c r="R157" s="63">
        <f t="shared" si="7"/>
        <v>0</v>
      </c>
      <c r="S157" s="63">
        <f t="shared" si="8"/>
        <v>526.92000000000007</v>
      </c>
    </row>
    <row r="158" spans="1:19" s="77" customFormat="1" ht="12" x14ac:dyDescent="0.2">
      <c r="A158" s="68" t="s">
        <v>8684</v>
      </c>
      <c r="B158" s="68" t="s">
        <v>8120</v>
      </c>
      <c r="C158" s="88">
        <v>99</v>
      </c>
      <c r="D158" s="73" t="s">
        <v>8134</v>
      </c>
      <c r="E158" s="165" t="s">
        <v>19</v>
      </c>
      <c r="F158" s="74">
        <v>43231</v>
      </c>
      <c r="G158" s="95">
        <f>7848.25+558+217+247.98+73.76+41.3+457.93+34.69+594.72</f>
        <v>10073.629999999999</v>
      </c>
      <c r="H158" s="63"/>
      <c r="I158" s="63">
        <v>4150</v>
      </c>
      <c r="J158" s="63"/>
      <c r="K158" s="133">
        <v>2490</v>
      </c>
      <c r="L158" s="63"/>
      <c r="M158" s="63"/>
      <c r="N158" s="63"/>
      <c r="O158" s="63"/>
      <c r="P158" s="63"/>
      <c r="Q158" s="63">
        <f t="shared" si="6"/>
        <v>16713.629999999997</v>
      </c>
      <c r="R158" s="63">
        <f t="shared" si="7"/>
        <v>0</v>
      </c>
      <c r="S158" s="63">
        <f t="shared" si="8"/>
        <v>16713.629999999997</v>
      </c>
    </row>
    <row r="159" spans="1:19" s="77" customFormat="1" ht="12" x14ac:dyDescent="0.2">
      <c r="A159" s="68">
        <v>5259</v>
      </c>
      <c r="B159" s="68" t="s">
        <v>8121</v>
      </c>
      <c r="C159" s="88">
        <v>100</v>
      </c>
      <c r="D159" s="73" t="s">
        <v>8292</v>
      </c>
      <c r="E159" s="165" t="s">
        <v>19</v>
      </c>
      <c r="F159" s="74">
        <v>43232</v>
      </c>
      <c r="G159" s="95">
        <f>398.88+421.95</f>
        <v>820.82999999999993</v>
      </c>
      <c r="H159" s="63"/>
      <c r="I159" s="63">
        <v>434</v>
      </c>
      <c r="J159" s="63"/>
      <c r="K159" s="133"/>
      <c r="L159" s="63"/>
      <c r="M159" s="63"/>
      <c r="N159" s="63"/>
      <c r="O159" s="63"/>
      <c r="P159" s="63"/>
      <c r="Q159" s="63">
        <f t="shared" si="6"/>
        <v>1254.83</v>
      </c>
      <c r="R159" s="63">
        <f t="shared" si="7"/>
        <v>0</v>
      </c>
      <c r="S159" s="63">
        <f t="shared" si="8"/>
        <v>1254.83</v>
      </c>
    </row>
    <row r="160" spans="1:19" s="77" customFormat="1" ht="12" x14ac:dyDescent="0.2">
      <c r="A160" s="68">
        <v>8828</v>
      </c>
      <c r="B160" s="68" t="s">
        <v>8136</v>
      </c>
      <c r="C160" s="88">
        <v>101</v>
      </c>
      <c r="D160" s="73" t="s">
        <v>8137</v>
      </c>
      <c r="E160" s="165" t="s">
        <v>19</v>
      </c>
      <c r="F160" s="74">
        <v>43233</v>
      </c>
      <c r="G160" s="95">
        <v>128.08000000000001</v>
      </c>
      <c r="H160" s="63"/>
      <c r="I160" s="63"/>
      <c r="J160" s="63"/>
      <c r="K160" s="133"/>
      <c r="L160" s="63"/>
      <c r="M160" s="63"/>
      <c r="N160" s="63"/>
      <c r="O160" s="63"/>
      <c r="P160" s="63"/>
      <c r="Q160" s="63">
        <f t="shared" si="6"/>
        <v>128.08000000000001</v>
      </c>
      <c r="R160" s="63">
        <f t="shared" si="7"/>
        <v>0</v>
      </c>
      <c r="S160" s="63">
        <f t="shared" si="8"/>
        <v>128.08000000000001</v>
      </c>
    </row>
    <row r="161" spans="1:19" s="77" customFormat="1" ht="12" x14ac:dyDescent="0.2">
      <c r="A161" s="68">
        <v>8828</v>
      </c>
      <c r="B161" s="68" t="s">
        <v>8136</v>
      </c>
      <c r="C161" s="88">
        <v>101</v>
      </c>
      <c r="D161" s="73" t="s">
        <v>8138</v>
      </c>
      <c r="E161" s="165" t="s">
        <v>19</v>
      </c>
      <c r="F161" s="74">
        <v>43233</v>
      </c>
      <c r="G161" s="95">
        <f>432.92+168.7+249.61+168.7+139.71</f>
        <v>1159.6400000000001</v>
      </c>
      <c r="H161" s="63"/>
      <c r="I161" s="63"/>
      <c r="J161" s="63"/>
      <c r="K161" s="133"/>
      <c r="L161" s="63"/>
      <c r="M161" s="63"/>
      <c r="N161" s="63"/>
      <c r="O161" s="63"/>
      <c r="P161" s="63"/>
      <c r="Q161" s="63">
        <f t="shared" si="6"/>
        <v>1159.6400000000001</v>
      </c>
      <c r="R161" s="63">
        <f t="shared" si="7"/>
        <v>0</v>
      </c>
      <c r="S161" s="63">
        <f t="shared" si="8"/>
        <v>1159.6400000000001</v>
      </c>
    </row>
    <row r="162" spans="1:19" s="77" customFormat="1" ht="12" x14ac:dyDescent="0.2">
      <c r="A162" s="68">
        <v>8828</v>
      </c>
      <c r="B162" s="68" t="s">
        <v>8136</v>
      </c>
      <c r="C162" s="88">
        <v>101</v>
      </c>
      <c r="D162" s="73" t="s">
        <v>8139</v>
      </c>
      <c r="E162" s="165" t="s">
        <v>19</v>
      </c>
      <c r="F162" s="74">
        <v>43233</v>
      </c>
      <c r="G162" s="95">
        <f>230.49+204.1</f>
        <v>434.59000000000003</v>
      </c>
      <c r="H162" s="63"/>
      <c r="I162" s="63"/>
      <c r="J162" s="63"/>
      <c r="K162" s="133"/>
      <c r="L162" s="63"/>
      <c r="M162" s="63"/>
      <c r="N162" s="63"/>
      <c r="O162" s="63"/>
      <c r="P162" s="63"/>
      <c r="Q162" s="63">
        <f t="shared" si="6"/>
        <v>434.59000000000003</v>
      </c>
      <c r="R162" s="63">
        <f t="shared" si="7"/>
        <v>0</v>
      </c>
      <c r="S162" s="63">
        <f t="shared" si="8"/>
        <v>434.59000000000003</v>
      </c>
    </row>
    <row r="163" spans="1:19" s="77" customFormat="1" ht="12" x14ac:dyDescent="0.2">
      <c r="A163" s="68">
        <v>4938</v>
      </c>
      <c r="B163" s="68" t="s">
        <v>8140</v>
      </c>
      <c r="C163" s="88">
        <v>102</v>
      </c>
      <c r="D163" s="73" t="s">
        <v>8141</v>
      </c>
      <c r="E163" s="165" t="s">
        <v>19</v>
      </c>
      <c r="F163" s="74">
        <v>43234</v>
      </c>
      <c r="G163" s="95">
        <f>30.9+132</f>
        <v>162.9</v>
      </c>
      <c r="H163" s="63"/>
      <c r="I163" s="63"/>
      <c r="J163" s="63"/>
      <c r="K163" s="133"/>
      <c r="L163" s="63"/>
      <c r="M163" s="63"/>
      <c r="N163" s="63"/>
      <c r="O163" s="63"/>
      <c r="P163" s="63"/>
      <c r="Q163" s="63">
        <f t="shared" si="6"/>
        <v>162.9</v>
      </c>
      <c r="R163" s="63">
        <f t="shared" si="7"/>
        <v>0</v>
      </c>
      <c r="S163" s="63">
        <f t="shared" si="8"/>
        <v>162.9</v>
      </c>
    </row>
    <row r="164" spans="1:19" s="77" customFormat="1" ht="12" x14ac:dyDescent="0.2">
      <c r="A164" s="68">
        <v>16831</v>
      </c>
      <c r="B164" s="68" t="s">
        <v>8170</v>
      </c>
      <c r="C164" s="88">
        <v>103</v>
      </c>
      <c r="D164" s="73" t="s">
        <v>8365</v>
      </c>
      <c r="E164" s="165" t="s">
        <v>19</v>
      </c>
      <c r="F164" s="74">
        <v>43236</v>
      </c>
      <c r="G164" s="95">
        <f>80.33+41.3+7476.63+80.33+41.3+416.6+139.18+139.18+139.18+320+181.71+80+41.3+353.78</f>
        <v>9530.82</v>
      </c>
      <c r="H164" s="63"/>
      <c r="I164" s="63">
        <f>1395+1395+930+430</f>
        <v>4150</v>
      </c>
      <c r="J164" s="63"/>
      <c r="K164" s="133"/>
      <c r="L164" s="63"/>
      <c r="M164" s="63"/>
      <c r="N164" s="63"/>
      <c r="O164" s="63"/>
      <c r="P164" s="63"/>
      <c r="Q164" s="63">
        <f t="shared" si="6"/>
        <v>13680.82</v>
      </c>
      <c r="R164" s="63">
        <f t="shared" si="7"/>
        <v>0</v>
      </c>
      <c r="S164" s="63">
        <f t="shared" si="8"/>
        <v>13680.82</v>
      </c>
    </row>
    <row r="165" spans="1:19" s="77" customFormat="1" ht="12" x14ac:dyDescent="0.2">
      <c r="A165" s="68" t="s">
        <v>8690</v>
      </c>
      <c r="B165" s="68" t="s">
        <v>8171</v>
      </c>
      <c r="C165" s="88">
        <v>104</v>
      </c>
      <c r="D165" s="73" t="s">
        <v>8142</v>
      </c>
      <c r="E165" s="165" t="s">
        <v>19</v>
      </c>
      <c r="F165" s="74">
        <v>43236</v>
      </c>
      <c r="G165" s="95">
        <v>113</v>
      </c>
      <c r="H165" s="63"/>
      <c r="I165" s="63"/>
      <c r="J165" s="63"/>
      <c r="K165" s="133"/>
      <c r="L165" s="63"/>
      <c r="M165" s="63"/>
      <c r="N165" s="63"/>
      <c r="O165" s="63"/>
      <c r="P165" s="63"/>
      <c r="Q165" s="63">
        <f t="shared" si="6"/>
        <v>113</v>
      </c>
      <c r="R165" s="63">
        <f t="shared" si="7"/>
        <v>0</v>
      </c>
      <c r="S165" s="63">
        <f t="shared" si="8"/>
        <v>113</v>
      </c>
    </row>
    <row r="166" spans="1:19" s="77" customFormat="1" ht="12" x14ac:dyDescent="0.2">
      <c r="A166" s="68" t="s">
        <v>8690</v>
      </c>
      <c r="B166" s="68" t="s">
        <v>8171</v>
      </c>
      <c r="C166" s="88">
        <v>104</v>
      </c>
      <c r="D166" s="73" t="s">
        <v>8143</v>
      </c>
      <c r="E166" s="165" t="s">
        <v>19</v>
      </c>
      <c r="F166" s="74">
        <v>43236</v>
      </c>
      <c r="G166" s="95">
        <v>192</v>
      </c>
      <c r="H166" s="63"/>
      <c r="I166" s="63"/>
      <c r="J166" s="63"/>
      <c r="K166" s="133"/>
      <c r="L166" s="63"/>
      <c r="M166" s="63"/>
      <c r="N166" s="63"/>
      <c r="O166" s="63"/>
      <c r="P166" s="63"/>
      <c r="Q166" s="63">
        <f t="shared" si="6"/>
        <v>192</v>
      </c>
      <c r="R166" s="63">
        <f t="shared" si="7"/>
        <v>0</v>
      </c>
      <c r="S166" s="63">
        <f t="shared" si="8"/>
        <v>192</v>
      </c>
    </row>
    <row r="167" spans="1:19" s="77" customFormat="1" ht="12" x14ac:dyDescent="0.2">
      <c r="A167" s="68" t="s">
        <v>8690</v>
      </c>
      <c r="B167" s="68" t="s">
        <v>8171</v>
      </c>
      <c r="C167" s="88">
        <v>104</v>
      </c>
      <c r="D167" s="73" t="s">
        <v>8144</v>
      </c>
      <c r="E167" s="165" t="s">
        <v>19</v>
      </c>
      <c r="F167" s="74">
        <v>43236</v>
      </c>
      <c r="G167" s="95">
        <v>145</v>
      </c>
      <c r="H167" s="63"/>
      <c r="I167" s="63"/>
      <c r="J167" s="63"/>
      <c r="K167" s="133"/>
      <c r="L167" s="63"/>
      <c r="M167" s="63"/>
      <c r="N167" s="63"/>
      <c r="O167" s="63"/>
      <c r="P167" s="63"/>
      <c r="Q167" s="63">
        <f t="shared" si="6"/>
        <v>145</v>
      </c>
      <c r="R167" s="63">
        <f t="shared" si="7"/>
        <v>0</v>
      </c>
      <c r="S167" s="63">
        <f t="shared" si="8"/>
        <v>145</v>
      </c>
    </row>
    <row r="168" spans="1:19" s="77" customFormat="1" ht="12" x14ac:dyDescent="0.2">
      <c r="A168" s="68" t="s">
        <v>8690</v>
      </c>
      <c r="B168" s="68" t="s">
        <v>8171</v>
      </c>
      <c r="C168" s="88">
        <v>104</v>
      </c>
      <c r="D168" s="73" t="s">
        <v>8145</v>
      </c>
      <c r="E168" s="165" t="s">
        <v>19</v>
      </c>
      <c r="F168" s="74">
        <v>43236</v>
      </c>
      <c r="G168" s="95">
        <v>144</v>
      </c>
      <c r="H168" s="63"/>
      <c r="I168" s="63"/>
      <c r="J168" s="63"/>
      <c r="K168" s="133"/>
      <c r="L168" s="63"/>
      <c r="M168" s="63"/>
      <c r="N168" s="63"/>
      <c r="O168" s="63"/>
      <c r="P168" s="63"/>
      <c r="Q168" s="63">
        <f t="shared" si="6"/>
        <v>144</v>
      </c>
      <c r="R168" s="63">
        <f t="shared" si="7"/>
        <v>0</v>
      </c>
      <c r="S168" s="63">
        <f t="shared" si="8"/>
        <v>144</v>
      </c>
    </row>
    <row r="169" spans="1:19" s="77" customFormat="1" ht="12" x14ac:dyDescent="0.2">
      <c r="A169" s="68">
        <v>14834</v>
      </c>
      <c r="B169" s="68" t="s">
        <v>8172</v>
      </c>
      <c r="C169" s="88">
        <v>105</v>
      </c>
      <c r="D169" s="73" t="s">
        <v>8146</v>
      </c>
      <c r="E169" s="165" t="s">
        <v>19</v>
      </c>
      <c r="F169" s="74">
        <v>43237</v>
      </c>
      <c r="G169" s="95">
        <f>618+84.23+126.6+206.88+41.3+54.78+41.3+69.51+41.3+1435.62+41.3+171.78</f>
        <v>2932.6</v>
      </c>
      <c r="H169" s="63"/>
      <c r="I169" s="63">
        <v>558</v>
      </c>
      <c r="J169" s="63"/>
      <c r="K169" s="133"/>
      <c r="L169" s="63"/>
      <c r="M169" s="63"/>
      <c r="N169" s="63"/>
      <c r="O169" s="63"/>
      <c r="P169" s="63"/>
      <c r="Q169" s="63">
        <f t="shared" si="6"/>
        <v>3490.6</v>
      </c>
      <c r="R169" s="63">
        <f t="shared" si="7"/>
        <v>0</v>
      </c>
      <c r="S169" s="63">
        <f t="shared" si="8"/>
        <v>3490.6</v>
      </c>
    </row>
    <row r="170" spans="1:19" s="77" customFormat="1" ht="12" x14ac:dyDescent="0.2">
      <c r="A170" s="68" t="s">
        <v>8689</v>
      </c>
      <c r="B170" s="68" t="s">
        <v>8173</v>
      </c>
      <c r="C170" s="88">
        <v>106</v>
      </c>
      <c r="D170" s="73" t="s">
        <v>8147</v>
      </c>
      <c r="E170" s="165" t="s">
        <v>19</v>
      </c>
      <c r="F170" s="74">
        <v>43237</v>
      </c>
      <c r="G170" s="95">
        <f>201.25+265.64</f>
        <v>466.89</v>
      </c>
      <c r="H170" s="63"/>
      <c r="I170" s="63"/>
      <c r="J170" s="63"/>
      <c r="K170" s="133"/>
      <c r="L170" s="63"/>
      <c r="M170" s="63"/>
      <c r="N170" s="63"/>
      <c r="O170" s="63"/>
      <c r="P170" s="63"/>
      <c r="Q170" s="63">
        <f t="shared" si="6"/>
        <v>466.89</v>
      </c>
      <c r="R170" s="63">
        <f t="shared" si="7"/>
        <v>0</v>
      </c>
      <c r="S170" s="63">
        <f t="shared" si="8"/>
        <v>466.89</v>
      </c>
    </row>
    <row r="171" spans="1:19" s="77" customFormat="1" ht="12" x14ac:dyDescent="0.2">
      <c r="A171" s="68">
        <v>14967</v>
      </c>
      <c r="B171" s="68" t="s">
        <v>8174</v>
      </c>
      <c r="C171" s="88">
        <v>107</v>
      </c>
      <c r="D171" s="73" t="s">
        <v>8148</v>
      </c>
      <c r="E171" s="165" t="s">
        <v>19</v>
      </c>
      <c r="F171" s="74">
        <v>43238</v>
      </c>
      <c r="G171" s="95">
        <f>1517.94+2690</f>
        <v>4207.9400000000005</v>
      </c>
      <c r="H171" s="63"/>
      <c r="I171" s="63"/>
      <c r="J171" s="63"/>
      <c r="K171" s="133"/>
      <c r="L171" s="63"/>
      <c r="M171" s="63">
        <v>4150</v>
      </c>
      <c r="N171" s="63"/>
      <c r="O171" s="63">
        <v>16600</v>
      </c>
      <c r="P171" s="63"/>
      <c r="Q171" s="63">
        <f t="shared" si="6"/>
        <v>24957.940000000002</v>
      </c>
      <c r="R171" s="63">
        <f t="shared" si="7"/>
        <v>0</v>
      </c>
      <c r="S171" s="63">
        <f t="shared" si="8"/>
        <v>24957.940000000002</v>
      </c>
    </row>
    <row r="172" spans="1:19" s="77" customFormat="1" ht="12" x14ac:dyDescent="0.2">
      <c r="A172" s="68">
        <v>14967</v>
      </c>
      <c r="B172" s="68" t="s">
        <v>8174</v>
      </c>
      <c r="C172" s="88">
        <v>107</v>
      </c>
      <c r="D172" s="73" t="s">
        <v>8149</v>
      </c>
      <c r="E172" s="165" t="s">
        <v>19</v>
      </c>
      <c r="F172" s="74">
        <v>43238</v>
      </c>
      <c r="G172" s="95">
        <f>41.3+330.05</f>
        <v>371.35</v>
      </c>
      <c r="H172" s="63"/>
      <c r="I172" s="63"/>
      <c r="J172" s="63"/>
      <c r="K172" s="133"/>
      <c r="L172" s="63"/>
      <c r="M172" s="63"/>
      <c r="N172" s="63"/>
      <c r="O172" s="63"/>
      <c r="P172" s="63"/>
      <c r="Q172" s="63">
        <f t="shared" si="6"/>
        <v>371.35</v>
      </c>
      <c r="R172" s="63">
        <f t="shared" si="7"/>
        <v>0</v>
      </c>
      <c r="S172" s="63">
        <f t="shared" si="8"/>
        <v>371.35</v>
      </c>
    </row>
    <row r="173" spans="1:19" s="77" customFormat="1" ht="12" x14ac:dyDescent="0.2">
      <c r="A173" s="68">
        <v>14967</v>
      </c>
      <c r="B173" s="68" t="s">
        <v>8174</v>
      </c>
      <c r="C173" s="88">
        <v>107</v>
      </c>
      <c r="D173" s="73" t="s">
        <v>8150</v>
      </c>
      <c r="E173" s="165" t="s">
        <v>19</v>
      </c>
      <c r="F173" s="74">
        <v>43238</v>
      </c>
      <c r="G173" s="95">
        <f>400+185.42+2874+4402.58</f>
        <v>7862</v>
      </c>
      <c r="H173" s="63"/>
      <c r="I173" s="63"/>
      <c r="J173" s="63"/>
      <c r="K173" s="133"/>
      <c r="L173" s="63"/>
      <c r="M173" s="63"/>
      <c r="N173" s="63"/>
      <c r="O173" s="63"/>
      <c r="P173" s="63"/>
      <c r="Q173" s="63">
        <f t="shared" si="6"/>
        <v>7862</v>
      </c>
      <c r="R173" s="63">
        <f t="shared" si="7"/>
        <v>0</v>
      </c>
      <c r="S173" s="63">
        <f t="shared" si="8"/>
        <v>7862</v>
      </c>
    </row>
    <row r="174" spans="1:19" s="77" customFormat="1" ht="12" x14ac:dyDescent="0.2">
      <c r="A174" s="68">
        <v>14967</v>
      </c>
      <c r="B174" s="68" t="s">
        <v>8174</v>
      </c>
      <c r="C174" s="88">
        <v>107</v>
      </c>
      <c r="D174" s="73" t="s">
        <v>8151</v>
      </c>
      <c r="E174" s="165" t="s">
        <v>19</v>
      </c>
      <c r="F174" s="74">
        <v>43238</v>
      </c>
      <c r="G174" s="95"/>
      <c r="H174" s="63"/>
      <c r="I174" s="63"/>
      <c r="J174" s="63"/>
      <c r="K174" s="133"/>
      <c r="L174" s="63"/>
      <c r="M174" s="63">
        <v>4150</v>
      </c>
      <c r="N174" s="63"/>
      <c r="O174" s="63">
        <v>16600</v>
      </c>
      <c r="P174" s="63"/>
      <c r="Q174" s="63">
        <f t="shared" si="6"/>
        <v>20750</v>
      </c>
      <c r="R174" s="63">
        <f t="shared" si="7"/>
        <v>0</v>
      </c>
      <c r="S174" s="63">
        <f t="shared" si="8"/>
        <v>20750</v>
      </c>
    </row>
    <row r="175" spans="1:19" s="77" customFormat="1" ht="12" x14ac:dyDescent="0.2">
      <c r="A175" s="68">
        <v>7561</v>
      </c>
      <c r="B175" s="68" t="s">
        <v>8175</v>
      </c>
      <c r="C175" s="88">
        <v>108</v>
      </c>
      <c r="D175" s="73" t="s">
        <v>8152</v>
      </c>
      <c r="E175" s="165" t="s">
        <v>19</v>
      </c>
      <c r="F175" s="74">
        <v>43238</v>
      </c>
      <c r="G175" s="95">
        <v>187.25</v>
      </c>
      <c r="H175" s="63"/>
      <c r="I175" s="63"/>
      <c r="J175" s="63"/>
      <c r="K175" s="133"/>
      <c r="L175" s="63"/>
      <c r="M175" s="63"/>
      <c r="N175" s="63"/>
      <c r="O175" s="63"/>
      <c r="P175" s="63"/>
      <c r="Q175" s="63">
        <f t="shared" si="6"/>
        <v>187.25</v>
      </c>
      <c r="R175" s="63">
        <f t="shared" si="7"/>
        <v>0</v>
      </c>
      <c r="S175" s="63">
        <f t="shared" si="8"/>
        <v>187.25</v>
      </c>
    </row>
    <row r="176" spans="1:19" s="77" customFormat="1" ht="12" x14ac:dyDescent="0.2">
      <c r="A176" s="68">
        <v>7561</v>
      </c>
      <c r="B176" s="68" t="s">
        <v>8175</v>
      </c>
      <c r="C176" s="88">
        <v>108</v>
      </c>
      <c r="D176" s="73" t="s">
        <v>8153</v>
      </c>
      <c r="E176" s="165" t="s">
        <v>19</v>
      </c>
      <c r="F176" s="74">
        <v>43238</v>
      </c>
      <c r="G176" s="95"/>
      <c r="H176" s="63"/>
      <c r="I176" s="63"/>
      <c r="J176" s="63"/>
      <c r="K176" s="133"/>
      <c r="L176" s="63"/>
      <c r="M176" s="63"/>
      <c r="N176" s="63"/>
      <c r="O176" s="63"/>
      <c r="P176" s="63"/>
      <c r="Q176" s="63">
        <f t="shared" si="6"/>
        <v>0</v>
      </c>
      <c r="R176" s="63">
        <f t="shared" si="7"/>
        <v>0</v>
      </c>
      <c r="S176" s="63">
        <f t="shared" si="8"/>
        <v>0</v>
      </c>
    </row>
    <row r="177" spans="1:19" s="77" customFormat="1" ht="12" x14ac:dyDescent="0.2">
      <c r="A177" s="68">
        <v>7561</v>
      </c>
      <c r="B177" s="68" t="s">
        <v>8175</v>
      </c>
      <c r="C177" s="88">
        <v>108</v>
      </c>
      <c r="D177" s="73" t="s">
        <v>8154</v>
      </c>
      <c r="E177" s="165" t="s">
        <v>19</v>
      </c>
      <c r="F177" s="74">
        <v>43238</v>
      </c>
      <c r="G177" s="95">
        <v>115.55</v>
      </c>
      <c r="H177" s="63"/>
      <c r="I177" s="63"/>
      <c r="J177" s="63"/>
      <c r="K177" s="133"/>
      <c r="L177" s="63"/>
      <c r="M177" s="63"/>
      <c r="N177" s="63"/>
      <c r="O177" s="63"/>
      <c r="P177" s="63"/>
      <c r="Q177" s="63">
        <f t="shared" si="6"/>
        <v>115.55</v>
      </c>
      <c r="R177" s="63">
        <f t="shared" si="7"/>
        <v>0</v>
      </c>
      <c r="S177" s="63">
        <f t="shared" si="8"/>
        <v>115.55</v>
      </c>
    </row>
    <row r="178" spans="1:19" s="77" customFormat="1" ht="12" x14ac:dyDescent="0.2">
      <c r="A178" s="68">
        <v>9502</v>
      </c>
      <c r="B178" s="68" t="s">
        <v>8176</v>
      </c>
      <c r="C178" s="88">
        <v>109</v>
      </c>
      <c r="D178" s="73" t="s">
        <v>8155</v>
      </c>
      <c r="E178" s="165" t="s">
        <v>19</v>
      </c>
      <c r="F178" s="74">
        <v>43239</v>
      </c>
      <c r="G178" s="95">
        <v>108.17</v>
      </c>
      <c r="H178" s="63"/>
      <c r="I178" s="63"/>
      <c r="J178" s="63"/>
      <c r="K178" s="133"/>
      <c r="L178" s="63"/>
      <c r="M178" s="63"/>
      <c r="N178" s="63"/>
      <c r="O178" s="63"/>
      <c r="P178" s="63"/>
      <c r="Q178" s="63">
        <f t="shared" si="6"/>
        <v>108.17</v>
      </c>
      <c r="R178" s="63">
        <f t="shared" si="7"/>
        <v>0</v>
      </c>
      <c r="S178" s="63">
        <f t="shared" si="8"/>
        <v>108.17</v>
      </c>
    </row>
    <row r="179" spans="1:19" s="77" customFormat="1" ht="12" x14ac:dyDescent="0.2">
      <c r="A179" s="68">
        <v>16631</v>
      </c>
      <c r="B179" s="68" t="s">
        <v>8177</v>
      </c>
      <c r="C179" s="88">
        <v>110</v>
      </c>
      <c r="D179" s="73" t="s">
        <v>8156</v>
      </c>
      <c r="E179" s="165" t="s">
        <v>19</v>
      </c>
      <c r="F179" s="74">
        <v>43239</v>
      </c>
      <c r="G179" s="95">
        <f>300+240.76</f>
        <v>540.76</v>
      </c>
      <c r="H179" s="63"/>
      <c r="I179" s="63"/>
      <c r="J179" s="63"/>
      <c r="K179" s="133"/>
      <c r="L179" s="63"/>
      <c r="M179" s="63"/>
      <c r="N179" s="63"/>
      <c r="O179" s="63"/>
      <c r="P179" s="63"/>
      <c r="Q179" s="63">
        <f t="shared" si="6"/>
        <v>540.76</v>
      </c>
      <c r="R179" s="63">
        <f t="shared" si="7"/>
        <v>0</v>
      </c>
      <c r="S179" s="63">
        <f t="shared" si="8"/>
        <v>540.76</v>
      </c>
    </row>
    <row r="180" spans="1:19" s="77" customFormat="1" ht="12" x14ac:dyDescent="0.2">
      <c r="A180" s="68">
        <v>8485</v>
      </c>
      <c r="B180" s="68" t="s">
        <v>8178</v>
      </c>
      <c r="C180" s="88">
        <v>111</v>
      </c>
      <c r="D180" s="73" t="s">
        <v>8157</v>
      </c>
      <c r="E180" s="165" t="s">
        <v>19</v>
      </c>
      <c r="F180" s="74">
        <v>43239</v>
      </c>
      <c r="G180" s="95">
        <v>315.73</v>
      </c>
      <c r="H180" s="63"/>
      <c r="I180" s="63"/>
      <c r="J180" s="63"/>
      <c r="K180" s="133"/>
      <c r="L180" s="63"/>
      <c r="M180" s="63"/>
      <c r="N180" s="63"/>
      <c r="O180" s="63"/>
      <c r="P180" s="63"/>
      <c r="Q180" s="63">
        <f t="shared" si="6"/>
        <v>315.73</v>
      </c>
      <c r="R180" s="63">
        <f t="shared" si="7"/>
        <v>0</v>
      </c>
      <c r="S180" s="63">
        <f t="shared" si="8"/>
        <v>315.73</v>
      </c>
    </row>
    <row r="181" spans="1:19" s="77" customFormat="1" ht="12" x14ac:dyDescent="0.2">
      <c r="A181" s="68">
        <v>9949</v>
      </c>
      <c r="B181" s="68" t="s">
        <v>8179</v>
      </c>
      <c r="C181" s="88">
        <v>112</v>
      </c>
      <c r="D181" s="73" t="s">
        <v>8158</v>
      </c>
      <c r="E181" s="165" t="s">
        <v>19</v>
      </c>
      <c r="F181" s="74">
        <v>43243</v>
      </c>
      <c r="G181" s="95">
        <f>360+4352.48+469+476.9+59+153.84+106.42+60+60+240+60</f>
        <v>6397.6399999999994</v>
      </c>
      <c r="H181" s="63"/>
      <c r="I181" s="63">
        <v>4150</v>
      </c>
      <c r="J181" s="63"/>
      <c r="K181" s="133"/>
      <c r="L181" s="63"/>
      <c r="M181" s="63"/>
      <c r="N181" s="63"/>
      <c r="O181" s="63"/>
      <c r="P181" s="63"/>
      <c r="Q181" s="63">
        <f t="shared" si="6"/>
        <v>10547.64</v>
      </c>
      <c r="R181" s="63">
        <f t="shared" si="7"/>
        <v>0</v>
      </c>
      <c r="S181" s="63">
        <f t="shared" si="8"/>
        <v>10547.64</v>
      </c>
    </row>
    <row r="182" spans="1:19" s="77" customFormat="1" ht="12" x14ac:dyDescent="0.2">
      <c r="A182" s="68" t="s">
        <v>8688</v>
      </c>
      <c r="B182" s="68" t="s">
        <v>8180</v>
      </c>
      <c r="C182" s="88">
        <v>113</v>
      </c>
      <c r="D182" s="73" t="s">
        <v>8159</v>
      </c>
      <c r="E182" s="165" t="s">
        <v>19</v>
      </c>
      <c r="F182" s="74">
        <v>43242</v>
      </c>
      <c r="G182" s="95"/>
      <c r="H182" s="63"/>
      <c r="I182" s="63"/>
      <c r="J182" s="63"/>
      <c r="K182" s="133"/>
      <c r="L182" s="63"/>
      <c r="M182" s="63"/>
      <c r="N182" s="63"/>
      <c r="O182" s="63"/>
      <c r="P182" s="63"/>
      <c r="Q182" s="63">
        <f t="shared" si="6"/>
        <v>0</v>
      </c>
      <c r="R182" s="63">
        <f t="shared" si="7"/>
        <v>0</v>
      </c>
      <c r="S182" s="63">
        <f t="shared" si="8"/>
        <v>0</v>
      </c>
    </row>
    <row r="183" spans="1:19" s="77" customFormat="1" ht="12" x14ac:dyDescent="0.2">
      <c r="A183" s="68">
        <v>15209</v>
      </c>
      <c r="B183" s="68" t="s">
        <v>8181</v>
      </c>
      <c r="C183" s="88">
        <v>114</v>
      </c>
      <c r="D183" s="73" t="s">
        <v>8160</v>
      </c>
      <c r="E183" s="165" t="s">
        <v>19</v>
      </c>
      <c r="F183" s="74">
        <v>43243</v>
      </c>
      <c r="G183" s="95">
        <v>107</v>
      </c>
      <c r="H183" s="63"/>
      <c r="I183" s="63"/>
      <c r="J183" s="63"/>
      <c r="K183" s="133"/>
      <c r="L183" s="63"/>
      <c r="M183" s="63"/>
      <c r="N183" s="63"/>
      <c r="O183" s="63"/>
      <c r="P183" s="63"/>
      <c r="Q183" s="63">
        <f t="shared" si="6"/>
        <v>107</v>
      </c>
      <c r="R183" s="63">
        <f t="shared" si="7"/>
        <v>0</v>
      </c>
      <c r="S183" s="63">
        <f t="shared" si="8"/>
        <v>107</v>
      </c>
    </row>
    <row r="184" spans="1:19" s="77" customFormat="1" ht="12" x14ac:dyDescent="0.2">
      <c r="A184" s="68">
        <v>16362</v>
      </c>
      <c r="B184" s="68" t="s">
        <v>2011</v>
      </c>
      <c r="C184" s="88">
        <v>115</v>
      </c>
      <c r="D184" s="73" t="s">
        <v>8161</v>
      </c>
      <c r="E184" s="165" t="s">
        <v>19</v>
      </c>
      <c r="F184" s="74">
        <v>43244</v>
      </c>
      <c r="G184" s="95">
        <f>300+128.7+125+105</f>
        <v>658.7</v>
      </c>
      <c r="H184" s="63"/>
      <c r="I184" s="63">
        <v>155</v>
      </c>
      <c r="J184" s="63"/>
      <c r="K184" s="133"/>
      <c r="L184" s="63"/>
      <c r="M184" s="63"/>
      <c r="N184" s="63"/>
      <c r="O184" s="63"/>
      <c r="P184" s="63"/>
      <c r="Q184" s="63">
        <f t="shared" si="6"/>
        <v>813.7</v>
      </c>
      <c r="R184" s="63">
        <f t="shared" si="7"/>
        <v>0</v>
      </c>
      <c r="S184" s="63">
        <f t="shared" si="8"/>
        <v>813.7</v>
      </c>
    </row>
    <row r="185" spans="1:19" s="77" customFormat="1" ht="12" x14ac:dyDescent="0.2">
      <c r="A185" s="68">
        <v>15768</v>
      </c>
      <c r="B185" s="68" t="s">
        <v>8182</v>
      </c>
      <c r="C185" s="88">
        <v>116</v>
      </c>
      <c r="D185" s="73" t="s">
        <v>8162</v>
      </c>
      <c r="E185" s="165" t="s">
        <v>19</v>
      </c>
      <c r="F185" s="74">
        <v>43245</v>
      </c>
      <c r="G185" s="95"/>
      <c r="H185" s="63"/>
      <c r="I185" s="63"/>
      <c r="J185" s="63"/>
      <c r="K185" s="133"/>
      <c r="L185" s="63"/>
      <c r="M185" s="63"/>
      <c r="N185" s="63"/>
      <c r="O185" s="63"/>
      <c r="P185" s="63"/>
      <c r="Q185" s="63">
        <f t="shared" si="6"/>
        <v>0</v>
      </c>
      <c r="R185" s="63">
        <f t="shared" si="7"/>
        <v>0</v>
      </c>
      <c r="S185" s="63">
        <f t="shared" si="8"/>
        <v>0</v>
      </c>
    </row>
    <row r="186" spans="1:19" s="77" customFormat="1" ht="12" x14ac:dyDescent="0.2">
      <c r="A186" s="68">
        <v>9938</v>
      </c>
      <c r="B186" s="68" t="s">
        <v>8183</v>
      </c>
      <c r="C186" s="88">
        <v>117</v>
      </c>
      <c r="D186" s="73" t="s">
        <v>8163</v>
      </c>
      <c r="E186" s="165" t="s">
        <v>19</v>
      </c>
      <c r="F186" s="74">
        <v>43246</v>
      </c>
      <c r="G186" s="95">
        <v>108.61</v>
      </c>
      <c r="H186" s="63"/>
      <c r="I186" s="63"/>
      <c r="J186" s="63"/>
      <c r="K186" s="133"/>
      <c r="L186" s="63"/>
      <c r="M186" s="63"/>
      <c r="N186" s="63"/>
      <c r="O186" s="63"/>
      <c r="P186" s="63"/>
      <c r="Q186" s="63">
        <f t="shared" si="6"/>
        <v>108.61</v>
      </c>
      <c r="R186" s="63">
        <f t="shared" si="7"/>
        <v>0</v>
      </c>
      <c r="S186" s="63">
        <f t="shared" si="8"/>
        <v>108.61</v>
      </c>
    </row>
    <row r="187" spans="1:19" s="77" customFormat="1" ht="12" x14ac:dyDescent="0.2">
      <c r="A187" s="68">
        <v>5882</v>
      </c>
      <c r="B187" s="68" t="s">
        <v>8184</v>
      </c>
      <c r="C187" s="88">
        <v>118</v>
      </c>
      <c r="D187" s="72" t="s">
        <v>8164</v>
      </c>
      <c r="E187" s="165" t="s">
        <v>19</v>
      </c>
      <c r="F187" s="74">
        <v>43246</v>
      </c>
      <c r="G187" s="95">
        <f>142.27+71.65+400.91+786.82+71.65+71.65+41.3+102+437.07+5659.7+71.65+88.9</f>
        <v>7945.57</v>
      </c>
      <c r="H187" s="63"/>
      <c r="I187" s="63">
        <f>930+930+2290</f>
        <v>4150</v>
      </c>
      <c r="J187" s="63"/>
      <c r="K187" s="133"/>
      <c r="L187" s="63"/>
      <c r="M187" s="63"/>
      <c r="N187" s="63"/>
      <c r="O187" s="63"/>
      <c r="P187" s="63"/>
      <c r="Q187" s="63">
        <f t="shared" si="6"/>
        <v>12095.57</v>
      </c>
      <c r="R187" s="63">
        <f t="shared" si="7"/>
        <v>0</v>
      </c>
      <c r="S187" s="63">
        <f t="shared" si="8"/>
        <v>12095.57</v>
      </c>
    </row>
    <row r="188" spans="1:19" s="77" customFormat="1" ht="12" x14ac:dyDescent="0.2">
      <c r="A188" s="85">
        <v>5289</v>
      </c>
      <c r="B188" s="68" t="s">
        <v>8185</v>
      </c>
      <c r="C188" s="88">
        <v>119</v>
      </c>
      <c r="D188" s="72" t="s">
        <v>8169</v>
      </c>
      <c r="E188" s="165" t="s">
        <v>7256</v>
      </c>
      <c r="F188" s="74">
        <v>43247</v>
      </c>
      <c r="G188" s="95">
        <f>21.9+164</f>
        <v>185.9</v>
      </c>
      <c r="H188" s="63"/>
      <c r="I188" s="63"/>
      <c r="J188" s="63"/>
      <c r="K188" s="133"/>
      <c r="L188" s="63"/>
      <c r="M188" s="63"/>
      <c r="N188" s="63"/>
      <c r="O188" s="63"/>
      <c r="P188" s="63"/>
      <c r="Q188" s="63">
        <f t="shared" si="6"/>
        <v>185.9</v>
      </c>
      <c r="R188" s="63">
        <f t="shared" si="7"/>
        <v>0</v>
      </c>
      <c r="S188" s="63">
        <f t="shared" si="8"/>
        <v>185.9</v>
      </c>
    </row>
    <row r="189" spans="1:19" s="77" customFormat="1" ht="12" x14ac:dyDescent="0.2">
      <c r="A189" s="68">
        <v>5289</v>
      </c>
      <c r="B189" s="85" t="s">
        <v>8185</v>
      </c>
      <c r="C189" s="88">
        <v>119</v>
      </c>
      <c r="D189" s="72" t="s">
        <v>8791</v>
      </c>
      <c r="E189" s="165" t="s">
        <v>7256</v>
      </c>
      <c r="F189" s="74">
        <v>43247</v>
      </c>
      <c r="G189" s="95">
        <f>3+90</f>
        <v>93</v>
      </c>
      <c r="H189" s="63"/>
      <c r="I189" s="63"/>
      <c r="J189" s="63"/>
      <c r="K189" s="133"/>
      <c r="L189" s="63"/>
      <c r="M189" s="63"/>
      <c r="N189" s="63"/>
      <c r="O189" s="63"/>
      <c r="P189" s="63"/>
      <c r="Q189" s="63">
        <f t="shared" si="6"/>
        <v>93</v>
      </c>
      <c r="R189" s="63">
        <f t="shared" si="7"/>
        <v>0</v>
      </c>
      <c r="S189" s="63">
        <f t="shared" si="8"/>
        <v>93</v>
      </c>
    </row>
    <row r="190" spans="1:19" s="77" customFormat="1" ht="12" x14ac:dyDescent="0.2">
      <c r="A190" s="68">
        <v>7940</v>
      </c>
      <c r="B190" s="85" t="s">
        <v>8186</v>
      </c>
      <c r="C190" s="88">
        <v>120</v>
      </c>
      <c r="D190" s="73" t="s">
        <v>8165</v>
      </c>
      <c r="E190" s="165" t="s">
        <v>19</v>
      </c>
      <c r="F190" s="74">
        <v>43248</v>
      </c>
      <c r="G190" s="95">
        <f>1510+273.93</f>
        <v>1783.93</v>
      </c>
      <c r="H190" s="63"/>
      <c r="I190" s="63"/>
      <c r="J190" s="63"/>
      <c r="K190" s="133"/>
      <c r="L190" s="63"/>
      <c r="M190" s="63"/>
      <c r="N190" s="63"/>
      <c r="O190" s="63"/>
      <c r="P190" s="63"/>
      <c r="Q190" s="63">
        <f t="shared" si="6"/>
        <v>1783.93</v>
      </c>
      <c r="R190" s="63">
        <f t="shared" si="7"/>
        <v>0</v>
      </c>
      <c r="S190" s="63">
        <f t="shared" si="8"/>
        <v>1783.93</v>
      </c>
    </row>
    <row r="191" spans="1:19" s="77" customFormat="1" ht="12" x14ac:dyDescent="0.2">
      <c r="A191" s="68">
        <v>7940</v>
      </c>
      <c r="B191" s="85" t="s">
        <v>8186</v>
      </c>
      <c r="C191" s="88">
        <v>120</v>
      </c>
      <c r="D191" s="73" t="s">
        <v>8166</v>
      </c>
      <c r="E191" s="165" t="s">
        <v>19</v>
      </c>
      <c r="F191" s="74">
        <v>43248</v>
      </c>
      <c r="G191" s="95">
        <v>40</v>
      </c>
      <c r="H191" s="63"/>
      <c r="I191" s="63"/>
      <c r="J191" s="63"/>
      <c r="K191" s="133"/>
      <c r="L191" s="63"/>
      <c r="M191" s="63"/>
      <c r="N191" s="63"/>
      <c r="O191" s="63"/>
      <c r="P191" s="63"/>
      <c r="Q191" s="63">
        <f t="shared" si="6"/>
        <v>40</v>
      </c>
      <c r="R191" s="63">
        <f t="shared" si="7"/>
        <v>0</v>
      </c>
      <c r="S191" s="63">
        <f t="shared" si="8"/>
        <v>40</v>
      </c>
    </row>
    <row r="192" spans="1:19" s="77" customFormat="1" ht="12" x14ac:dyDescent="0.2">
      <c r="A192" s="68" t="s">
        <v>8685</v>
      </c>
      <c r="B192" s="85" t="s">
        <v>8187</v>
      </c>
      <c r="C192" s="88">
        <v>121</v>
      </c>
      <c r="D192" s="73" t="s">
        <v>9326</v>
      </c>
      <c r="E192" s="165" t="s">
        <v>19</v>
      </c>
      <c r="F192" s="74">
        <v>43249</v>
      </c>
      <c r="G192" s="95">
        <f>1448+558+400+800+41.3+130.48+41.3+1028.17+41.3+87.45+35</f>
        <v>4611</v>
      </c>
      <c r="H192" s="63"/>
      <c r="I192" s="63">
        <v>930</v>
      </c>
      <c r="J192" s="63"/>
      <c r="K192" s="133"/>
      <c r="L192" s="63"/>
      <c r="M192" s="63"/>
      <c r="N192" s="63"/>
      <c r="O192" s="63"/>
      <c r="P192" s="63"/>
      <c r="Q192" s="63">
        <f t="shared" si="6"/>
        <v>5541</v>
      </c>
      <c r="R192" s="63">
        <f t="shared" si="7"/>
        <v>0</v>
      </c>
      <c r="S192" s="63">
        <f t="shared" si="8"/>
        <v>5541</v>
      </c>
    </row>
    <row r="193" spans="1:19" s="77" customFormat="1" ht="12" x14ac:dyDescent="0.2">
      <c r="A193" s="68" t="s">
        <v>8686</v>
      </c>
      <c r="B193" s="85" t="s">
        <v>8188</v>
      </c>
      <c r="C193" s="88">
        <v>122</v>
      </c>
      <c r="D193" s="73" t="s">
        <v>8167</v>
      </c>
      <c r="E193" s="165" t="s">
        <v>19</v>
      </c>
      <c r="F193" s="74">
        <v>43250</v>
      </c>
      <c r="G193" s="95">
        <v>97.94</v>
      </c>
      <c r="H193" s="63"/>
      <c r="I193" s="63"/>
      <c r="J193" s="63"/>
      <c r="K193" s="133"/>
      <c r="L193" s="63"/>
      <c r="M193" s="63"/>
      <c r="N193" s="63"/>
      <c r="O193" s="63"/>
      <c r="P193" s="63"/>
      <c r="Q193" s="63">
        <f t="shared" si="6"/>
        <v>97.94</v>
      </c>
      <c r="R193" s="63">
        <f t="shared" si="7"/>
        <v>0</v>
      </c>
      <c r="S193" s="63">
        <f t="shared" si="8"/>
        <v>97.94</v>
      </c>
    </row>
    <row r="194" spans="1:19" s="77" customFormat="1" ht="12" x14ac:dyDescent="0.2">
      <c r="A194" s="68" t="s">
        <v>8686</v>
      </c>
      <c r="B194" s="85" t="s">
        <v>8188</v>
      </c>
      <c r="C194" s="88">
        <v>122</v>
      </c>
      <c r="D194" s="73" t="s">
        <v>8168</v>
      </c>
      <c r="E194" s="165" t="s">
        <v>19</v>
      </c>
      <c r="F194" s="74">
        <v>43250</v>
      </c>
      <c r="G194" s="95">
        <f>2.83+164.02</f>
        <v>166.85000000000002</v>
      </c>
      <c r="H194" s="63"/>
      <c r="I194" s="63"/>
      <c r="J194" s="63"/>
      <c r="K194" s="133"/>
      <c r="L194" s="63"/>
      <c r="M194" s="63"/>
      <c r="N194" s="63"/>
      <c r="O194" s="63"/>
      <c r="P194" s="63"/>
      <c r="Q194" s="63">
        <f t="shared" si="6"/>
        <v>166.85000000000002</v>
      </c>
      <c r="R194" s="63">
        <f t="shared" si="7"/>
        <v>0</v>
      </c>
      <c r="S194" s="63">
        <f t="shared" si="8"/>
        <v>166.85000000000002</v>
      </c>
    </row>
    <row r="195" spans="1:19" s="77" customFormat="1" ht="12" x14ac:dyDescent="0.2">
      <c r="A195" s="68" t="s">
        <v>8687</v>
      </c>
      <c r="B195" s="85" t="s">
        <v>8189</v>
      </c>
      <c r="C195" s="88">
        <v>123</v>
      </c>
      <c r="D195" s="73" t="s">
        <v>8294</v>
      </c>
      <c r="E195" s="165" t="s">
        <v>19</v>
      </c>
      <c r="F195" s="74">
        <v>43250</v>
      </c>
      <c r="G195" s="95">
        <v>347.85</v>
      </c>
      <c r="H195" s="63"/>
      <c r="I195" s="63"/>
      <c r="J195" s="63"/>
      <c r="K195" s="133"/>
      <c r="L195" s="63"/>
      <c r="M195" s="63"/>
      <c r="N195" s="63"/>
      <c r="O195" s="63"/>
      <c r="P195" s="63"/>
      <c r="Q195" s="63">
        <f t="shared" si="6"/>
        <v>347.85</v>
      </c>
      <c r="R195" s="63">
        <f t="shared" si="7"/>
        <v>0</v>
      </c>
      <c r="S195" s="63">
        <f t="shared" si="8"/>
        <v>347.85</v>
      </c>
    </row>
    <row r="196" spans="1:19" s="77" customFormat="1" ht="12" x14ac:dyDescent="0.2">
      <c r="A196" s="68">
        <v>12890</v>
      </c>
      <c r="B196" s="68" t="s">
        <v>8191</v>
      </c>
      <c r="C196" s="88">
        <v>124</v>
      </c>
      <c r="D196" s="73" t="s">
        <v>8190</v>
      </c>
      <c r="E196" s="165" t="s">
        <v>19</v>
      </c>
      <c r="F196" s="74">
        <v>43252</v>
      </c>
      <c r="G196" s="95"/>
      <c r="H196" s="63"/>
      <c r="I196" s="63"/>
      <c r="J196" s="63"/>
      <c r="K196" s="133"/>
      <c r="L196" s="63"/>
      <c r="M196" s="63"/>
      <c r="N196" s="63"/>
      <c r="O196" s="63"/>
      <c r="P196" s="63"/>
      <c r="Q196" s="63">
        <f t="shared" si="6"/>
        <v>0</v>
      </c>
      <c r="R196" s="63">
        <f t="shared" si="7"/>
        <v>0</v>
      </c>
      <c r="S196" s="63">
        <f t="shared" si="8"/>
        <v>0</v>
      </c>
    </row>
    <row r="197" spans="1:19" s="77" customFormat="1" ht="12" x14ac:dyDescent="0.2">
      <c r="A197" s="68" t="s">
        <v>8192</v>
      </c>
      <c r="B197" s="68" t="s">
        <v>8193</v>
      </c>
      <c r="C197" s="88">
        <v>125</v>
      </c>
      <c r="D197" s="73" t="s">
        <v>8194</v>
      </c>
      <c r="E197" s="165" t="s">
        <v>19</v>
      </c>
      <c r="F197" s="74">
        <v>43252</v>
      </c>
      <c r="G197" s="95">
        <v>120</v>
      </c>
      <c r="H197" s="63"/>
      <c r="I197" s="63"/>
      <c r="J197" s="63"/>
      <c r="K197" s="133"/>
      <c r="L197" s="63"/>
      <c r="M197" s="63"/>
      <c r="N197" s="63"/>
      <c r="O197" s="63"/>
      <c r="P197" s="63"/>
      <c r="Q197" s="63">
        <f t="shared" si="6"/>
        <v>120</v>
      </c>
      <c r="R197" s="63">
        <f t="shared" si="7"/>
        <v>0</v>
      </c>
      <c r="S197" s="63">
        <f t="shared" si="8"/>
        <v>120</v>
      </c>
    </row>
    <row r="198" spans="1:19" s="77" customFormat="1" ht="12" x14ac:dyDescent="0.2">
      <c r="A198" s="68" t="s">
        <v>8195</v>
      </c>
      <c r="B198" s="68" t="s">
        <v>8196</v>
      </c>
      <c r="C198" s="88">
        <v>126</v>
      </c>
      <c r="D198" s="73" t="s">
        <v>8197</v>
      </c>
      <c r="E198" s="165" t="s">
        <v>19</v>
      </c>
      <c r="F198" s="74">
        <v>43253</v>
      </c>
      <c r="G198" s="95">
        <f>41.3+71.65+41.3+87.19+71.65+320.49</f>
        <v>633.58000000000004</v>
      </c>
      <c r="H198" s="63"/>
      <c r="I198" s="63"/>
      <c r="J198" s="63"/>
      <c r="K198" s="133"/>
      <c r="L198" s="63"/>
      <c r="M198" s="63"/>
      <c r="N198" s="63"/>
      <c r="O198" s="63"/>
      <c r="P198" s="63"/>
      <c r="Q198" s="63">
        <f t="shared" si="6"/>
        <v>633.58000000000004</v>
      </c>
      <c r="R198" s="63">
        <f t="shared" si="7"/>
        <v>0</v>
      </c>
      <c r="S198" s="63">
        <f t="shared" si="8"/>
        <v>633.58000000000004</v>
      </c>
    </row>
    <row r="199" spans="1:19" s="77" customFormat="1" ht="12" x14ac:dyDescent="0.2">
      <c r="A199" s="68">
        <v>8255</v>
      </c>
      <c r="B199" s="68" t="s">
        <v>8198</v>
      </c>
      <c r="C199" s="88">
        <v>127</v>
      </c>
      <c r="D199" s="73" t="s">
        <v>8199</v>
      </c>
      <c r="E199" s="165" t="s">
        <v>19</v>
      </c>
      <c r="F199" s="74">
        <v>43255</v>
      </c>
      <c r="G199" s="95">
        <f>178.66+202.45</f>
        <v>381.11</v>
      </c>
      <c r="H199" s="63"/>
      <c r="I199" s="63"/>
      <c r="J199" s="63"/>
      <c r="K199" s="133"/>
      <c r="L199" s="63"/>
      <c r="M199" s="63"/>
      <c r="N199" s="63"/>
      <c r="O199" s="63"/>
      <c r="P199" s="63"/>
      <c r="Q199" s="63">
        <f t="shared" si="6"/>
        <v>381.11</v>
      </c>
      <c r="R199" s="63">
        <f t="shared" si="7"/>
        <v>0</v>
      </c>
      <c r="S199" s="63">
        <f t="shared" si="8"/>
        <v>381.11</v>
      </c>
    </row>
    <row r="200" spans="1:19" s="77" customFormat="1" ht="12" x14ac:dyDescent="0.2">
      <c r="A200" s="68" t="s">
        <v>8201</v>
      </c>
      <c r="B200" s="68" t="s">
        <v>8202</v>
      </c>
      <c r="C200" s="88">
        <v>128</v>
      </c>
      <c r="D200" s="73" t="s">
        <v>8203</v>
      </c>
      <c r="E200" s="165" t="s">
        <v>19</v>
      </c>
      <c r="F200" s="74">
        <v>43256</v>
      </c>
      <c r="G200" s="95"/>
      <c r="H200" s="63"/>
      <c r="I200" s="63"/>
      <c r="J200" s="63"/>
      <c r="K200" s="133"/>
      <c r="L200" s="63"/>
      <c r="M200" s="63"/>
      <c r="N200" s="63"/>
      <c r="O200" s="63"/>
      <c r="P200" s="63"/>
      <c r="Q200" s="63">
        <f t="shared" ref="Q200:Q268" si="9">+G200+I200+K200+M200+O200</f>
        <v>0</v>
      </c>
      <c r="R200" s="63">
        <f t="shared" ref="R200:R268" si="10">+H200+J200+L200+N200+P200</f>
        <v>0</v>
      </c>
      <c r="S200" s="63">
        <f t="shared" ref="S200:S268" si="11">+Q200+R200</f>
        <v>0</v>
      </c>
    </row>
    <row r="201" spans="1:19" s="77" customFormat="1" ht="12" x14ac:dyDescent="0.2">
      <c r="A201" s="68" t="s">
        <v>8204</v>
      </c>
      <c r="B201" s="68" t="s">
        <v>8205</v>
      </c>
      <c r="C201" s="88">
        <v>129</v>
      </c>
      <c r="D201" s="73" t="s">
        <v>8206</v>
      </c>
      <c r="E201" s="165" t="s">
        <v>19</v>
      </c>
      <c r="F201" s="74">
        <v>43256</v>
      </c>
      <c r="G201" s="95">
        <v>240</v>
      </c>
      <c r="H201" s="63"/>
      <c r="I201" s="63"/>
      <c r="J201" s="63"/>
      <c r="K201" s="133"/>
      <c r="L201" s="63"/>
      <c r="M201" s="63"/>
      <c r="N201" s="63"/>
      <c r="O201" s="63"/>
      <c r="P201" s="63"/>
      <c r="Q201" s="63">
        <f t="shared" si="9"/>
        <v>240</v>
      </c>
      <c r="R201" s="63">
        <f t="shared" si="10"/>
        <v>0</v>
      </c>
      <c r="S201" s="63">
        <f t="shared" si="11"/>
        <v>240</v>
      </c>
    </row>
    <row r="202" spans="1:19" s="77" customFormat="1" ht="12" x14ac:dyDescent="0.2">
      <c r="A202" s="68" t="s">
        <v>8207</v>
      </c>
      <c r="B202" s="68" t="s">
        <v>8208</v>
      </c>
      <c r="C202" s="88">
        <v>130</v>
      </c>
      <c r="D202" s="73" t="s">
        <v>8209</v>
      </c>
      <c r="E202" s="165" t="s">
        <v>19</v>
      </c>
      <c r="F202" s="74">
        <v>43257</v>
      </c>
      <c r="G202" s="95">
        <f>211.93+2875.9+341.27+233.66+194.81+106.88</f>
        <v>3964.45</v>
      </c>
      <c r="H202" s="63"/>
      <c r="I202" s="63"/>
      <c r="J202" s="63"/>
      <c r="K202" s="133"/>
      <c r="L202" s="63"/>
      <c r="M202" s="63"/>
      <c r="N202" s="63"/>
      <c r="O202" s="63"/>
      <c r="P202" s="63"/>
      <c r="Q202" s="63">
        <f t="shared" si="9"/>
        <v>3964.45</v>
      </c>
      <c r="R202" s="63">
        <f t="shared" si="10"/>
        <v>0</v>
      </c>
      <c r="S202" s="63">
        <f t="shared" si="11"/>
        <v>3964.45</v>
      </c>
    </row>
    <row r="203" spans="1:19" s="77" customFormat="1" ht="12" x14ac:dyDescent="0.2">
      <c r="A203" s="68" t="s">
        <v>8246</v>
      </c>
      <c r="B203" s="68" t="s">
        <v>8247</v>
      </c>
      <c r="C203" s="88">
        <v>130</v>
      </c>
      <c r="D203" s="73" t="s">
        <v>8210</v>
      </c>
      <c r="E203" s="165" t="s">
        <v>19</v>
      </c>
      <c r="F203" s="74">
        <v>43257</v>
      </c>
      <c r="G203" s="95">
        <f>123.04+3057.1+146.19+482.54+41.3</f>
        <v>3850.17</v>
      </c>
      <c r="H203" s="63"/>
      <c r="I203" s="63"/>
      <c r="J203" s="63"/>
      <c r="K203" s="133"/>
      <c r="L203" s="63"/>
      <c r="M203" s="63"/>
      <c r="N203" s="63"/>
      <c r="O203" s="63"/>
      <c r="P203" s="63"/>
      <c r="Q203" s="63">
        <f t="shared" si="9"/>
        <v>3850.17</v>
      </c>
      <c r="R203" s="63">
        <f t="shared" si="10"/>
        <v>0</v>
      </c>
      <c r="S203" s="63">
        <f t="shared" si="11"/>
        <v>3850.17</v>
      </c>
    </row>
    <row r="204" spans="1:19" s="77" customFormat="1" ht="12" x14ac:dyDescent="0.2">
      <c r="A204" s="68" t="s">
        <v>8211</v>
      </c>
      <c r="B204" s="68" t="s">
        <v>8212</v>
      </c>
      <c r="C204" s="88">
        <v>131</v>
      </c>
      <c r="D204" s="73" t="s">
        <v>8214</v>
      </c>
      <c r="E204" s="165" t="s">
        <v>19</v>
      </c>
      <c r="F204" s="74">
        <v>43258</v>
      </c>
      <c r="G204" s="95">
        <f>159.19+500+7689.77+41.3+136.8+118.63+764.89+255</f>
        <v>9665.5799999999981</v>
      </c>
      <c r="H204" s="63"/>
      <c r="I204" s="63"/>
      <c r="J204" s="63"/>
      <c r="K204" s="133"/>
      <c r="L204" s="63"/>
      <c r="M204" s="63"/>
      <c r="N204" s="63"/>
      <c r="O204" s="63"/>
      <c r="P204" s="63"/>
      <c r="Q204" s="63">
        <f t="shared" si="9"/>
        <v>9665.5799999999981</v>
      </c>
      <c r="R204" s="63">
        <f t="shared" si="10"/>
        <v>0</v>
      </c>
      <c r="S204" s="63">
        <f t="shared" si="11"/>
        <v>9665.5799999999981</v>
      </c>
    </row>
    <row r="205" spans="1:19" s="77" customFormat="1" ht="12" x14ac:dyDescent="0.2">
      <c r="A205" s="68" t="s">
        <v>8211</v>
      </c>
      <c r="B205" s="68" t="s">
        <v>8212</v>
      </c>
      <c r="C205" s="88">
        <v>131</v>
      </c>
      <c r="D205" s="73" t="s">
        <v>8213</v>
      </c>
      <c r="E205" s="165" t="s">
        <v>19</v>
      </c>
      <c r="F205" s="74">
        <v>43258</v>
      </c>
      <c r="G205" s="95">
        <f>140.82</f>
        <v>140.82</v>
      </c>
      <c r="H205" s="63"/>
      <c r="I205" s="63"/>
      <c r="J205" s="63"/>
      <c r="K205" s="133"/>
      <c r="L205" s="63"/>
      <c r="M205" s="63"/>
      <c r="N205" s="63"/>
      <c r="O205" s="63"/>
      <c r="P205" s="63"/>
      <c r="Q205" s="63">
        <f t="shared" si="9"/>
        <v>140.82</v>
      </c>
      <c r="R205" s="63">
        <f t="shared" si="10"/>
        <v>0</v>
      </c>
      <c r="S205" s="63">
        <f t="shared" si="11"/>
        <v>140.82</v>
      </c>
    </row>
    <row r="206" spans="1:19" s="77" customFormat="1" ht="12" x14ac:dyDescent="0.2">
      <c r="A206" s="68" t="s">
        <v>8211</v>
      </c>
      <c r="B206" s="68" t="s">
        <v>8212</v>
      </c>
      <c r="C206" s="88">
        <v>131</v>
      </c>
      <c r="D206" s="73" t="s">
        <v>8215</v>
      </c>
      <c r="E206" s="165" t="s">
        <v>19</v>
      </c>
      <c r="F206" s="74">
        <v>43258</v>
      </c>
      <c r="G206" s="95">
        <v>157.41</v>
      </c>
      <c r="H206" s="63"/>
      <c r="I206" s="63"/>
      <c r="J206" s="63"/>
      <c r="K206" s="133"/>
      <c r="L206" s="63"/>
      <c r="M206" s="63"/>
      <c r="N206" s="63"/>
      <c r="O206" s="63"/>
      <c r="P206" s="63"/>
      <c r="Q206" s="63">
        <f t="shared" si="9"/>
        <v>157.41</v>
      </c>
      <c r="R206" s="63">
        <f t="shared" si="10"/>
        <v>0</v>
      </c>
      <c r="S206" s="63">
        <f t="shared" si="11"/>
        <v>157.41</v>
      </c>
    </row>
    <row r="207" spans="1:19" s="77" customFormat="1" ht="12" x14ac:dyDescent="0.2">
      <c r="A207" s="68">
        <v>8652</v>
      </c>
      <c r="B207" s="68" t="s">
        <v>8216</v>
      </c>
      <c r="C207" s="88">
        <v>132</v>
      </c>
      <c r="D207" s="73" t="s">
        <v>8217</v>
      </c>
      <c r="E207" s="165" t="s">
        <v>19</v>
      </c>
      <c r="F207" s="74">
        <v>43264</v>
      </c>
      <c r="G207" s="95">
        <v>436.01</v>
      </c>
      <c r="H207" s="63"/>
      <c r="I207" s="63"/>
      <c r="J207" s="63"/>
      <c r="K207" s="133"/>
      <c r="L207" s="63"/>
      <c r="M207" s="63"/>
      <c r="N207" s="63"/>
      <c r="O207" s="63"/>
      <c r="P207" s="63"/>
      <c r="Q207" s="63">
        <f t="shared" si="9"/>
        <v>436.01</v>
      </c>
      <c r="R207" s="63">
        <f t="shared" si="10"/>
        <v>0</v>
      </c>
      <c r="S207" s="63">
        <f t="shared" si="11"/>
        <v>436.01</v>
      </c>
    </row>
    <row r="208" spans="1:19" s="77" customFormat="1" ht="12" x14ac:dyDescent="0.2">
      <c r="A208" s="68" t="s">
        <v>8218</v>
      </c>
      <c r="B208" s="68" t="s">
        <v>6095</v>
      </c>
      <c r="C208" s="88">
        <v>133</v>
      </c>
      <c r="D208" s="73" t="s">
        <v>8219</v>
      </c>
      <c r="E208" s="165" t="s">
        <v>19</v>
      </c>
      <c r="F208" s="74">
        <v>43266</v>
      </c>
      <c r="G208" s="95">
        <v>105.22</v>
      </c>
      <c r="H208" s="63"/>
      <c r="I208" s="63"/>
      <c r="J208" s="63"/>
      <c r="K208" s="133"/>
      <c r="L208" s="63"/>
      <c r="M208" s="63"/>
      <c r="N208" s="63"/>
      <c r="O208" s="63"/>
      <c r="P208" s="63"/>
      <c r="Q208" s="63">
        <f t="shared" si="9"/>
        <v>105.22</v>
      </c>
      <c r="R208" s="63">
        <f t="shared" si="10"/>
        <v>0</v>
      </c>
      <c r="S208" s="63">
        <f t="shared" si="11"/>
        <v>105.22</v>
      </c>
    </row>
    <row r="209" spans="1:19" s="77" customFormat="1" ht="12" x14ac:dyDescent="0.2">
      <c r="A209" s="68" t="s">
        <v>8200</v>
      </c>
      <c r="B209" s="68" t="s">
        <v>8220</v>
      </c>
      <c r="C209" s="88">
        <v>134</v>
      </c>
      <c r="D209" s="73" t="s">
        <v>8221</v>
      </c>
      <c r="E209" s="165" t="s">
        <v>19</v>
      </c>
      <c r="F209" s="74">
        <v>43266</v>
      </c>
      <c r="G209" s="95">
        <f>214.28+168.7+24+106.91+264.19+172.52+328.67+256.06+5.66</f>
        <v>1540.99</v>
      </c>
      <c r="H209" s="63"/>
      <c r="I209" s="63">
        <f>985-24</f>
        <v>961</v>
      </c>
      <c r="J209" s="63"/>
      <c r="K209" s="133"/>
      <c r="L209" s="63"/>
      <c r="M209" s="63"/>
      <c r="N209" s="63"/>
      <c r="O209" s="63"/>
      <c r="P209" s="63"/>
      <c r="Q209" s="63">
        <f t="shared" si="9"/>
        <v>2501.9899999999998</v>
      </c>
      <c r="R209" s="63">
        <f t="shared" si="10"/>
        <v>0</v>
      </c>
      <c r="S209" s="63">
        <f t="shared" si="11"/>
        <v>2501.9899999999998</v>
      </c>
    </row>
    <row r="210" spans="1:19" s="77" customFormat="1" ht="12" x14ac:dyDescent="0.2">
      <c r="A210" s="68" t="s">
        <v>8222</v>
      </c>
      <c r="B210" s="68" t="s">
        <v>8223</v>
      </c>
      <c r="C210" s="88">
        <v>135</v>
      </c>
      <c r="D210" s="73" t="s">
        <v>8224</v>
      </c>
      <c r="E210" s="165" t="s">
        <v>19</v>
      </c>
      <c r="F210" s="74">
        <v>43267</v>
      </c>
      <c r="G210" s="95">
        <v>301.20999999999998</v>
      </c>
      <c r="H210" s="63"/>
      <c r="I210" s="63"/>
      <c r="J210" s="63"/>
      <c r="K210" s="133"/>
      <c r="L210" s="63"/>
      <c r="M210" s="63"/>
      <c r="N210" s="63"/>
      <c r="O210" s="63"/>
      <c r="P210" s="63"/>
      <c r="Q210" s="63">
        <f t="shared" si="9"/>
        <v>301.20999999999998</v>
      </c>
      <c r="R210" s="63">
        <f t="shared" si="10"/>
        <v>0</v>
      </c>
      <c r="S210" s="63">
        <f t="shared" si="11"/>
        <v>301.20999999999998</v>
      </c>
    </row>
    <row r="211" spans="1:19" s="77" customFormat="1" ht="12" x14ac:dyDescent="0.2">
      <c r="A211" s="68" t="s">
        <v>8225</v>
      </c>
      <c r="B211" s="68" t="s">
        <v>8226</v>
      </c>
      <c r="C211" s="88">
        <v>136</v>
      </c>
      <c r="D211" s="73" t="s">
        <v>8227</v>
      </c>
      <c r="E211" s="165" t="s">
        <v>19</v>
      </c>
      <c r="F211" s="74">
        <v>43270</v>
      </c>
      <c r="G211" s="95">
        <f>5.25+92.04</f>
        <v>97.29</v>
      </c>
      <c r="H211" s="63"/>
      <c r="I211" s="63"/>
      <c r="J211" s="63"/>
      <c r="K211" s="133"/>
      <c r="L211" s="63"/>
      <c r="M211" s="63"/>
      <c r="N211" s="63"/>
      <c r="O211" s="63"/>
      <c r="P211" s="63"/>
      <c r="Q211" s="63">
        <f t="shared" si="9"/>
        <v>97.29</v>
      </c>
      <c r="R211" s="63">
        <f t="shared" si="10"/>
        <v>0</v>
      </c>
      <c r="S211" s="63">
        <f t="shared" si="11"/>
        <v>97.29</v>
      </c>
    </row>
    <row r="212" spans="1:19" s="77" customFormat="1" ht="12" x14ac:dyDescent="0.2">
      <c r="A212" s="68">
        <v>12719</v>
      </c>
      <c r="B212" s="68" t="s">
        <v>8228</v>
      </c>
      <c r="C212" s="88">
        <v>137</v>
      </c>
      <c r="D212" s="73" t="s">
        <v>8229</v>
      </c>
      <c r="E212" s="165" t="s">
        <v>19</v>
      </c>
      <c r="F212" s="74">
        <v>43271</v>
      </c>
      <c r="G212" s="95">
        <f>109+300</f>
        <v>409</v>
      </c>
      <c r="H212" s="63"/>
      <c r="I212" s="63"/>
      <c r="J212" s="63"/>
      <c r="K212" s="133"/>
      <c r="L212" s="63"/>
      <c r="M212" s="63"/>
      <c r="N212" s="63"/>
      <c r="O212" s="63"/>
      <c r="P212" s="63"/>
      <c r="Q212" s="63">
        <f t="shared" si="9"/>
        <v>409</v>
      </c>
      <c r="R212" s="63">
        <f t="shared" si="10"/>
        <v>0</v>
      </c>
      <c r="S212" s="63">
        <f t="shared" si="11"/>
        <v>409</v>
      </c>
    </row>
    <row r="213" spans="1:19" s="77" customFormat="1" ht="12" x14ac:dyDescent="0.2">
      <c r="A213" s="68" t="s">
        <v>8230</v>
      </c>
      <c r="B213" s="68" t="s">
        <v>8231</v>
      </c>
      <c r="C213" s="88">
        <v>138</v>
      </c>
      <c r="D213" s="73" t="s">
        <v>8232</v>
      </c>
      <c r="E213" s="165" t="s">
        <v>19</v>
      </c>
      <c r="F213" s="74">
        <v>43272</v>
      </c>
      <c r="G213" s="95">
        <v>98.29</v>
      </c>
      <c r="H213" s="63"/>
      <c r="I213" s="63"/>
      <c r="J213" s="63"/>
      <c r="K213" s="133"/>
      <c r="L213" s="63"/>
      <c r="M213" s="63"/>
      <c r="N213" s="63"/>
      <c r="O213" s="63"/>
      <c r="P213" s="63"/>
      <c r="Q213" s="63">
        <f t="shared" si="9"/>
        <v>98.29</v>
      </c>
      <c r="R213" s="63">
        <f t="shared" si="10"/>
        <v>0</v>
      </c>
      <c r="S213" s="63">
        <f t="shared" si="11"/>
        <v>98.29</v>
      </c>
    </row>
    <row r="214" spans="1:19" s="77" customFormat="1" ht="12" x14ac:dyDescent="0.2">
      <c r="A214" s="68" t="s">
        <v>8233</v>
      </c>
      <c r="B214" s="68" t="s">
        <v>5902</v>
      </c>
      <c r="C214" s="88">
        <v>139</v>
      </c>
      <c r="D214" s="73" t="s">
        <v>8234</v>
      </c>
      <c r="E214" s="165" t="s">
        <v>19</v>
      </c>
      <c r="F214" s="74">
        <v>43272</v>
      </c>
      <c r="G214" s="95"/>
      <c r="H214" s="63"/>
      <c r="I214" s="63"/>
      <c r="J214" s="63"/>
      <c r="K214" s="133"/>
      <c r="L214" s="63"/>
      <c r="M214" s="63"/>
      <c r="N214" s="63"/>
      <c r="O214" s="63"/>
      <c r="P214" s="63"/>
      <c r="Q214" s="63">
        <f t="shared" si="9"/>
        <v>0</v>
      </c>
      <c r="R214" s="63">
        <f t="shared" si="10"/>
        <v>0</v>
      </c>
      <c r="S214" s="63">
        <f t="shared" si="11"/>
        <v>0</v>
      </c>
    </row>
    <row r="215" spans="1:19" s="77" customFormat="1" ht="12" x14ac:dyDescent="0.2">
      <c r="A215" s="68">
        <v>4136</v>
      </c>
      <c r="B215" s="68" t="s">
        <v>8235</v>
      </c>
      <c r="C215" s="88">
        <v>140</v>
      </c>
      <c r="D215" s="73" t="s">
        <v>8236</v>
      </c>
      <c r="E215" s="165" t="s">
        <v>7256</v>
      </c>
      <c r="F215" s="74">
        <v>43273</v>
      </c>
      <c r="G215" s="95">
        <f>86+5</f>
        <v>91</v>
      </c>
      <c r="H215" s="63"/>
      <c r="I215" s="63"/>
      <c r="J215" s="63"/>
      <c r="K215" s="133"/>
      <c r="L215" s="63"/>
      <c r="M215" s="63"/>
      <c r="N215" s="63"/>
      <c r="O215" s="63"/>
      <c r="P215" s="63"/>
      <c r="Q215" s="63">
        <f t="shared" ref="Q215:Q223" si="12">+G215+I215+K215+M215+O215</f>
        <v>91</v>
      </c>
      <c r="R215" s="63">
        <f t="shared" ref="R215:R223" si="13">+H215+J215+L215+N215+P215</f>
        <v>0</v>
      </c>
      <c r="S215" s="63">
        <f t="shared" ref="S215:S223" si="14">+Q215+R215</f>
        <v>91</v>
      </c>
    </row>
    <row r="216" spans="1:19" s="77" customFormat="1" ht="12" x14ac:dyDescent="0.2">
      <c r="A216" s="68">
        <v>2425</v>
      </c>
      <c r="B216" s="68" t="s">
        <v>8237</v>
      </c>
      <c r="C216" s="88">
        <v>141</v>
      </c>
      <c r="D216" s="73" t="s">
        <v>8238</v>
      </c>
      <c r="E216" s="165" t="s">
        <v>19</v>
      </c>
      <c r="F216" s="74">
        <v>43273</v>
      </c>
      <c r="G216" s="95">
        <f>3.72+167.56</f>
        <v>171.28</v>
      </c>
      <c r="H216" s="63"/>
      <c r="I216" s="63"/>
      <c r="J216" s="63"/>
      <c r="K216" s="133"/>
      <c r="L216" s="63"/>
      <c r="M216" s="63"/>
      <c r="N216" s="63"/>
      <c r="O216" s="63"/>
      <c r="P216" s="63"/>
      <c r="Q216" s="63">
        <f t="shared" si="12"/>
        <v>171.28</v>
      </c>
      <c r="R216" s="63">
        <f t="shared" si="13"/>
        <v>0</v>
      </c>
      <c r="S216" s="63">
        <f t="shared" si="14"/>
        <v>171.28</v>
      </c>
    </row>
    <row r="217" spans="1:19" s="77" customFormat="1" ht="12" x14ac:dyDescent="0.2">
      <c r="A217" s="68" t="s">
        <v>8239</v>
      </c>
      <c r="B217" s="68" t="s">
        <v>8240</v>
      </c>
      <c r="C217" s="88">
        <v>142</v>
      </c>
      <c r="D217" s="73" t="s">
        <v>8241</v>
      </c>
      <c r="E217" s="165" t="s">
        <v>7413</v>
      </c>
      <c r="F217" s="74">
        <v>43274</v>
      </c>
      <c r="G217" s="95">
        <f>41.3+14450.81+46.83+377.32+500+41.3+41.3+71.65+335+335</f>
        <v>16240.509999999997</v>
      </c>
      <c r="H217" s="63"/>
      <c r="I217" s="63">
        <v>3720</v>
      </c>
      <c r="J217" s="63"/>
      <c r="K217" s="133"/>
      <c r="L217" s="63"/>
      <c r="M217" s="63"/>
      <c r="N217" s="63"/>
      <c r="O217" s="63"/>
      <c r="P217" s="63"/>
      <c r="Q217" s="63">
        <f t="shared" si="12"/>
        <v>19960.509999999995</v>
      </c>
      <c r="R217" s="63">
        <f t="shared" si="13"/>
        <v>0</v>
      </c>
      <c r="S217" s="63">
        <f t="shared" si="14"/>
        <v>19960.509999999995</v>
      </c>
    </row>
    <row r="218" spans="1:19" s="77" customFormat="1" ht="12" x14ac:dyDescent="0.2">
      <c r="A218" s="68" t="s">
        <v>8239</v>
      </c>
      <c r="B218" s="68" t="s">
        <v>8240</v>
      </c>
      <c r="C218" s="88">
        <v>142</v>
      </c>
      <c r="D218" s="73" t="s">
        <v>8413</v>
      </c>
      <c r="E218" s="165" t="s">
        <v>7413</v>
      </c>
      <c r="F218" s="74">
        <v>43274</v>
      </c>
      <c r="G218" s="95">
        <v>493.29</v>
      </c>
      <c r="H218" s="63"/>
      <c r="I218" s="63"/>
      <c r="J218" s="63"/>
      <c r="K218" s="133"/>
      <c r="L218" s="63"/>
      <c r="M218" s="63"/>
      <c r="N218" s="63"/>
      <c r="O218" s="63"/>
      <c r="P218" s="63"/>
      <c r="Q218" s="63">
        <f t="shared" si="12"/>
        <v>493.29</v>
      </c>
      <c r="R218" s="63">
        <f t="shared" si="13"/>
        <v>0</v>
      </c>
      <c r="S218" s="63">
        <f t="shared" si="14"/>
        <v>493.29</v>
      </c>
    </row>
    <row r="219" spans="1:19" s="77" customFormat="1" ht="12" x14ac:dyDescent="0.2">
      <c r="A219" s="68" t="s">
        <v>8239</v>
      </c>
      <c r="B219" s="68" t="s">
        <v>8240</v>
      </c>
      <c r="C219" s="88">
        <v>142</v>
      </c>
      <c r="D219" s="73" t="s">
        <v>8414</v>
      </c>
      <c r="E219" s="165" t="s">
        <v>7413</v>
      </c>
      <c r="F219" s="74">
        <v>43274</v>
      </c>
      <c r="G219" s="95">
        <v>338.28</v>
      </c>
      <c r="H219" s="63"/>
      <c r="I219" s="63"/>
      <c r="J219" s="63"/>
      <c r="K219" s="133"/>
      <c r="L219" s="63"/>
      <c r="M219" s="63"/>
      <c r="N219" s="63"/>
      <c r="O219" s="63"/>
      <c r="P219" s="63"/>
      <c r="Q219" s="63">
        <f t="shared" si="12"/>
        <v>338.28</v>
      </c>
      <c r="R219" s="63">
        <f t="shared" si="13"/>
        <v>0</v>
      </c>
      <c r="S219" s="63">
        <f t="shared" si="14"/>
        <v>338.28</v>
      </c>
    </row>
    <row r="220" spans="1:19" s="77" customFormat="1" ht="12" x14ac:dyDescent="0.2">
      <c r="A220" s="68" t="s">
        <v>8239</v>
      </c>
      <c r="B220" s="68" t="s">
        <v>8240</v>
      </c>
      <c r="C220" s="88">
        <v>142</v>
      </c>
      <c r="D220" s="73" t="s">
        <v>8415</v>
      </c>
      <c r="E220" s="165" t="s">
        <v>7413</v>
      </c>
      <c r="F220" s="74">
        <v>43274</v>
      </c>
      <c r="G220" s="95">
        <v>158.52000000000001</v>
      </c>
      <c r="H220" s="63"/>
      <c r="I220" s="63"/>
      <c r="J220" s="63"/>
      <c r="K220" s="133"/>
      <c r="L220" s="63"/>
      <c r="M220" s="63"/>
      <c r="N220" s="63"/>
      <c r="O220" s="63"/>
      <c r="P220" s="63"/>
      <c r="Q220" s="63">
        <f t="shared" si="12"/>
        <v>158.52000000000001</v>
      </c>
      <c r="R220" s="63">
        <f t="shared" si="13"/>
        <v>0</v>
      </c>
      <c r="S220" s="63">
        <f t="shared" si="14"/>
        <v>158.52000000000001</v>
      </c>
    </row>
    <row r="221" spans="1:19" s="77" customFormat="1" ht="12" x14ac:dyDescent="0.2">
      <c r="A221" s="68" t="s">
        <v>8239</v>
      </c>
      <c r="B221" s="68" t="s">
        <v>8240</v>
      </c>
      <c r="C221" s="88">
        <v>142</v>
      </c>
      <c r="D221" s="73" t="s">
        <v>8416</v>
      </c>
      <c r="E221" s="165" t="s">
        <v>7413</v>
      </c>
      <c r="F221" s="74">
        <v>43274</v>
      </c>
      <c r="G221" s="95">
        <v>446.48</v>
      </c>
      <c r="H221" s="63"/>
      <c r="I221" s="63"/>
      <c r="J221" s="63"/>
      <c r="K221" s="133"/>
      <c r="L221" s="63"/>
      <c r="M221" s="63"/>
      <c r="N221" s="63"/>
      <c r="O221" s="63"/>
      <c r="P221" s="63"/>
      <c r="Q221" s="63">
        <f t="shared" si="12"/>
        <v>446.48</v>
      </c>
      <c r="R221" s="63">
        <f t="shared" si="13"/>
        <v>0</v>
      </c>
      <c r="S221" s="63">
        <f t="shared" si="14"/>
        <v>446.48</v>
      </c>
    </row>
    <row r="222" spans="1:19" s="77" customFormat="1" ht="12" x14ac:dyDescent="0.2">
      <c r="A222" s="68" t="s">
        <v>8242</v>
      </c>
      <c r="B222" s="68" t="s">
        <v>8243</v>
      </c>
      <c r="C222" s="88">
        <v>143</v>
      </c>
      <c r="D222" s="73" t="s">
        <v>8421</v>
      </c>
      <c r="E222" s="165" t="s">
        <v>19</v>
      </c>
      <c r="F222" s="74">
        <v>43276</v>
      </c>
      <c r="G222" s="95">
        <v>93.93</v>
      </c>
      <c r="H222" s="63"/>
      <c r="I222" s="63"/>
      <c r="J222" s="63"/>
      <c r="K222" s="133"/>
      <c r="L222" s="63"/>
      <c r="M222" s="63"/>
      <c r="N222" s="63"/>
      <c r="O222" s="63"/>
      <c r="P222" s="63"/>
      <c r="Q222" s="63">
        <f t="shared" si="12"/>
        <v>93.93</v>
      </c>
      <c r="R222" s="63">
        <f t="shared" si="13"/>
        <v>0</v>
      </c>
      <c r="S222" s="63">
        <f t="shared" si="14"/>
        <v>93.93</v>
      </c>
    </row>
    <row r="223" spans="1:19" s="77" customFormat="1" ht="12" x14ac:dyDescent="0.2">
      <c r="A223" s="68">
        <v>9954</v>
      </c>
      <c r="B223" s="68" t="s">
        <v>8244</v>
      </c>
      <c r="C223" s="88">
        <v>144</v>
      </c>
      <c r="D223" s="73" t="s">
        <v>8245</v>
      </c>
      <c r="E223" s="165" t="s">
        <v>19</v>
      </c>
      <c r="F223" s="74">
        <v>43276</v>
      </c>
      <c r="G223" s="95">
        <v>161.69999999999999</v>
      </c>
      <c r="H223" s="63"/>
      <c r="I223" s="63"/>
      <c r="J223" s="63"/>
      <c r="K223" s="133"/>
      <c r="L223" s="63"/>
      <c r="M223" s="63"/>
      <c r="N223" s="63"/>
      <c r="O223" s="63"/>
      <c r="P223" s="63"/>
      <c r="Q223" s="63">
        <f t="shared" si="12"/>
        <v>161.69999999999999</v>
      </c>
      <c r="R223" s="63">
        <f t="shared" si="13"/>
        <v>0</v>
      </c>
      <c r="S223" s="63">
        <f t="shared" si="14"/>
        <v>161.69999999999999</v>
      </c>
    </row>
    <row r="224" spans="1:19" s="77" customFormat="1" ht="12" x14ac:dyDescent="0.2">
      <c r="A224" s="68" t="s">
        <v>8248</v>
      </c>
      <c r="B224" s="68" t="s">
        <v>8249</v>
      </c>
      <c r="C224" s="88">
        <v>145</v>
      </c>
      <c r="D224" s="73" t="s">
        <v>8250</v>
      </c>
      <c r="E224" s="165" t="s">
        <v>3721</v>
      </c>
      <c r="F224" s="74">
        <v>43276</v>
      </c>
      <c r="G224" s="95"/>
      <c r="H224" s="63"/>
      <c r="I224" s="63"/>
      <c r="J224" s="63"/>
      <c r="K224" s="133"/>
      <c r="L224" s="63"/>
      <c r="M224" s="63"/>
      <c r="N224" s="63"/>
      <c r="O224" s="63"/>
      <c r="P224" s="63"/>
      <c r="Q224" s="63">
        <f t="shared" si="9"/>
        <v>0</v>
      </c>
      <c r="R224" s="63">
        <f t="shared" si="10"/>
        <v>0</v>
      </c>
      <c r="S224" s="63">
        <f t="shared" si="11"/>
        <v>0</v>
      </c>
    </row>
    <row r="225" spans="1:19" s="77" customFormat="1" ht="12" x14ac:dyDescent="0.2">
      <c r="A225" s="68" t="s">
        <v>8251</v>
      </c>
      <c r="B225" s="68" t="s">
        <v>8252</v>
      </c>
      <c r="C225" s="88">
        <v>146</v>
      </c>
      <c r="D225" s="73" t="s">
        <v>8253</v>
      </c>
      <c r="E225" s="165" t="s">
        <v>3721</v>
      </c>
      <c r="F225" s="74">
        <v>43276</v>
      </c>
      <c r="G225" s="95">
        <f>47.2+1.18</f>
        <v>48.38</v>
      </c>
      <c r="H225" s="63"/>
      <c r="I225" s="63"/>
      <c r="J225" s="63"/>
      <c r="K225" s="133"/>
      <c r="L225" s="63"/>
      <c r="M225" s="63"/>
      <c r="N225" s="63"/>
      <c r="O225" s="63"/>
      <c r="P225" s="63"/>
      <c r="Q225" s="63">
        <f t="shared" si="9"/>
        <v>48.38</v>
      </c>
      <c r="R225" s="63">
        <f t="shared" si="10"/>
        <v>0</v>
      </c>
      <c r="S225" s="63">
        <f t="shared" si="11"/>
        <v>48.38</v>
      </c>
    </row>
    <row r="226" spans="1:19" s="77" customFormat="1" ht="12" x14ac:dyDescent="0.2">
      <c r="A226" s="68" t="s">
        <v>8254</v>
      </c>
      <c r="B226" s="68" t="s">
        <v>8255</v>
      </c>
      <c r="C226" s="76">
        <v>147</v>
      </c>
      <c r="D226" s="73" t="s">
        <v>8256</v>
      </c>
      <c r="E226" s="165" t="s">
        <v>3721</v>
      </c>
      <c r="F226" s="74">
        <v>43277</v>
      </c>
      <c r="G226" s="95">
        <f>644.6+46.32+447.04+47.2</f>
        <v>1185.1600000000001</v>
      </c>
      <c r="H226" s="63"/>
      <c r="I226" s="63"/>
      <c r="J226" s="63"/>
      <c r="K226" s="133"/>
      <c r="L226" s="63"/>
      <c r="M226" s="63"/>
      <c r="N226" s="63"/>
      <c r="O226" s="63"/>
      <c r="P226" s="63"/>
      <c r="Q226" s="63">
        <f t="shared" si="9"/>
        <v>1185.1600000000001</v>
      </c>
      <c r="R226" s="63">
        <f t="shared" si="10"/>
        <v>0</v>
      </c>
      <c r="S226" s="63">
        <f t="shared" si="11"/>
        <v>1185.1600000000001</v>
      </c>
    </row>
    <row r="227" spans="1:19" s="77" customFormat="1" ht="12" x14ac:dyDescent="0.2">
      <c r="A227" s="68" t="s">
        <v>8257</v>
      </c>
      <c r="B227" s="68" t="s">
        <v>8258</v>
      </c>
      <c r="C227" s="76">
        <v>148</v>
      </c>
      <c r="D227" s="73" t="s">
        <v>8259</v>
      </c>
      <c r="E227" s="165" t="s">
        <v>3721</v>
      </c>
      <c r="F227" s="74">
        <v>43277</v>
      </c>
      <c r="G227" s="95">
        <f>155.22+130.1+3.2+29.16+73.16+135.95+52.99</f>
        <v>579.78</v>
      </c>
      <c r="H227" s="63"/>
      <c r="I227" s="63">
        <v>682</v>
      </c>
      <c r="J227" s="63"/>
      <c r="K227" s="133"/>
      <c r="L227" s="63"/>
      <c r="M227" s="63"/>
      <c r="N227" s="63"/>
      <c r="O227" s="63"/>
      <c r="P227" s="63"/>
      <c r="Q227" s="63">
        <f t="shared" si="9"/>
        <v>1261.78</v>
      </c>
      <c r="R227" s="63">
        <f t="shared" si="10"/>
        <v>0</v>
      </c>
      <c r="S227" s="63">
        <f t="shared" si="11"/>
        <v>1261.78</v>
      </c>
    </row>
    <row r="228" spans="1:19" s="77" customFormat="1" ht="12" x14ac:dyDescent="0.2">
      <c r="A228" s="68" t="s">
        <v>8275</v>
      </c>
      <c r="B228" s="68" t="s">
        <v>8276</v>
      </c>
      <c r="C228" s="76">
        <v>148</v>
      </c>
      <c r="D228" s="73" t="s">
        <v>8260</v>
      </c>
      <c r="E228" s="165" t="s">
        <v>3721</v>
      </c>
      <c r="F228" s="74">
        <v>43277</v>
      </c>
      <c r="G228" s="95">
        <f>106.42+199.52+134.94+132.58+295</f>
        <v>868.46</v>
      </c>
      <c r="H228" s="63"/>
      <c r="I228" s="63">
        <v>2852</v>
      </c>
      <c r="J228" s="63"/>
      <c r="K228" s="133"/>
      <c r="L228" s="63"/>
      <c r="M228" s="63"/>
      <c r="N228" s="63"/>
      <c r="O228" s="63"/>
      <c r="P228" s="63"/>
      <c r="Q228" s="63">
        <f t="shared" si="9"/>
        <v>3720.46</v>
      </c>
      <c r="R228" s="63">
        <f t="shared" si="10"/>
        <v>0</v>
      </c>
      <c r="S228" s="63">
        <f t="shared" si="11"/>
        <v>3720.46</v>
      </c>
    </row>
    <row r="229" spans="1:19" s="77" customFormat="1" ht="12" x14ac:dyDescent="0.2">
      <c r="A229" s="68" t="s">
        <v>8277</v>
      </c>
      <c r="B229" s="68" t="s">
        <v>8278</v>
      </c>
      <c r="C229" s="76">
        <v>148</v>
      </c>
      <c r="D229" s="73" t="s">
        <v>8261</v>
      </c>
      <c r="E229" s="165" t="s">
        <v>3721</v>
      </c>
      <c r="F229" s="74">
        <v>43277</v>
      </c>
      <c r="G229" s="95">
        <v>167.38</v>
      </c>
      <c r="H229" s="63"/>
      <c r="I229" s="63"/>
      <c r="J229" s="63"/>
      <c r="K229" s="133"/>
      <c r="L229" s="63"/>
      <c r="M229" s="63"/>
      <c r="N229" s="63"/>
      <c r="O229" s="63"/>
      <c r="P229" s="63"/>
      <c r="Q229" s="63">
        <f t="shared" si="9"/>
        <v>167.38</v>
      </c>
      <c r="R229" s="63">
        <f t="shared" si="10"/>
        <v>0</v>
      </c>
      <c r="S229" s="63">
        <f t="shared" si="11"/>
        <v>167.38</v>
      </c>
    </row>
    <row r="230" spans="1:19" s="77" customFormat="1" ht="12" x14ac:dyDescent="0.2">
      <c r="A230" s="68" t="s">
        <v>8279</v>
      </c>
      <c r="B230" s="68" t="s">
        <v>8280</v>
      </c>
      <c r="C230" s="76">
        <v>148</v>
      </c>
      <c r="D230" s="73" t="s">
        <v>8262</v>
      </c>
      <c r="E230" s="165" t="s">
        <v>3721</v>
      </c>
      <c r="F230" s="74">
        <v>43277</v>
      </c>
      <c r="G230" s="95">
        <v>133.09</v>
      </c>
      <c r="H230" s="63"/>
      <c r="I230" s="63"/>
      <c r="J230" s="63"/>
      <c r="K230" s="133"/>
      <c r="L230" s="63"/>
      <c r="M230" s="63"/>
      <c r="N230" s="63"/>
      <c r="O230" s="63"/>
      <c r="P230" s="63"/>
      <c r="Q230" s="63">
        <f t="shared" si="9"/>
        <v>133.09</v>
      </c>
      <c r="R230" s="63">
        <f t="shared" si="10"/>
        <v>0</v>
      </c>
      <c r="S230" s="63">
        <f t="shared" si="11"/>
        <v>133.09</v>
      </c>
    </row>
    <row r="231" spans="1:19" s="77" customFormat="1" ht="12" x14ac:dyDescent="0.2">
      <c r="A231" s="68" t="s">
        <v>8281</v>
      </c>
      <c r="B231" s="68" t="s">
        <v>8282</v>
      </c>
      <c r="C231" s="76">
        <v>148</v>
      </c>
      <c r="D231" s="73" t="s">
        <v>8263</v>
      </c>
      <c r="E231" s="165" t="s">
        <v>3721</v>
      </c>
      <c r="F231" s="74">
        <v>43277</v>
      </c>
      <c r="G231" s="95">
        <v>210.04</v>
      </c>
      <c r="H231" s="63"/>
      <c r="I231" s="63"/>
      <c r="J231" s="63"/>
      <c r="K231" s="133"/>
      <c r="L231" s="63"/>
      <c r="M231" s="63"/>
      <c r="N231" s="63"/>
      <c r="O231" s="63"/>
      <c r="P231" s="63"/>
      <c r="Q231" s="63">
        <f t="shared" si="9"/>
        <v>210.04</v>
      </c>
      <c r="R231" s="63">
        <f t="shared" si="10"/>
        <v>0</v>
      </c>
      <c r="S231" s="63">
        <f t="shared" si="11"/>
        <v>210.04</v>
      </c>
    </row>
    <row r="232" spans="1:19" s="77" customFormat="1" ht="12" x14ac:dyDescent="0.2">
      <c r="A232" s="68" t="s">
        <v>8264</v>
      </c>
      <c r="B232" s="68" t="s">
        <v>8265</v>
      </c>
      <c r="C232" s="76">
        <v>149</v>
      </c>
      <c r="D232" s="73" t="s">
        <v>8266</v>
      </c>
      <c r="E232" s="165" t="s">
        <v>3721</v>
      </c>
      <c r="F232" s="74">
        <v>43277</v>
      </c>
      <c r="G232" s="95">
        <f>172.72+300</f>
        <v>472.72</v>
      </c>
      <c r="H232" s="63"/>
      <c r="I232" s="63"/>
      <c r="J232" s="63"/>
      <c r="K232" s="133"/>
      <c r="L232" s="63"/>
      <c r="M232" s="63"/>
      <c r="N232" s="63"/>
      <c r="O232" s="63"/>
      <c r="P232" s="63"/>
      <c r="Q232" s="63">
        <f t="shared" si="9"/>
        <v>472.72</v>
      </c>
      <c r="R232" s="63">
        <f t="shared" si="10"/>
        <v>0</v>
      </c>
      <c r="S232" s="63">
        <f t="shared" si="11"/>
        <v>472.72</v>
      </c>
    </row>
    <row r="233" spans="1:19" s="77" customFormat="1" ht="12" x14ac:dyDescent="0.2">
      <c r="A233" s="68" t="s">
        <v>8267</v>
      </c>
      <c r="B233" s="68" t="s">
        <v>8268</v>
      </c>
      <c r="C233" s="76">
        <v>150</v>
      </c>
      <c r="D233" s="73" t="s">
        <v>8269</v>
      </c>
      <c r="E233" s="165" t="s">
        <v>3721</v>
      </c>
      <c r="F233" s="74">
        <v>43277</v>
      </c>
      <c r="G233" s="95">
        <f>558+877.78+101.52+59+76.95+295+59+27.26+50+94.4</f>
        <v>2198.9100000000003</v>
      </c>
      <c r="H233" s="63"/>
      <c r="I233" s="63">
        <v>2790</v>
      </c>
      <c r="J233" s="63"/>
      <c r="K233" s="133"/>
      <c r="L233" s="63"/>
      <c r="M233" s="63"/>
      <c r="N233" s="63"/>
      <c r="O233" s="63"/>
      <c r="P233" s="63"/>
      <c r="Q233" s="63">
        <f t="shared" si="9"/>
        <v>4988.91</v>
      </c>
      <c r="R233" s="63">
        <f t="shared" si="10"/>
        <v>0</v>
      </c>
      <c r="S233" s="63">
        <f t="shared" si="11"/>
        <v>4988.91</v>
      </c>
    </row>
    <row r="234" spans="1:19" s="77" customFormat="1" ht="12" x14ac:dyDescent="0.2">
      <c r="A234" s="68" t="s">
        <v>8283</v>
      </c>
      <c r="B234" s="68" t="s">
        <v>8284</v>
      </c>
      <c r="C234" s="76">
        <v>150</v>
      </c>
      <c r="D234" s="73" t="s">
        <v>8270</v>
      </c>
      <c r="E234" s="165" t="s">
        <v>3721</v>
      </c>
      <c r="F234" s="74">
        <v>43277</v>
      </c>
      <c r="G234" s="95">
        <f>59+70+2055.64+44.72+59+59+59+59+535+59</f>
        <v>3059.3599999999997</v>
      </c>
      <c r="H234" s="63"/>
      <c r="I234" s="63">
        <v>3720</v>
      </c>
      <c r="J234" s="63"/>
      <c r="K234" s="133"/>
      <c r="L234" s="63"/>
      <c r="M234" s="63"/>
      <c r="N234" s="63"/>
      <c r="O234" s="63"/>
      <c r="P234" s="63"/>
      <c r="Q234" s="63">
        <f t="shared" si="9"/>
        <v>6779.36</v>
      </c>
      <c r="R234" s="63">
        <f t="shared" si="10"/>
        <v>0</v>
      </c>
      <c r="S234" s="63">
        <f t="shared" si="11"/>
        <v>6779.36</v>
      </c>
    </row>
    <row r="235" spans="1:19" s="77" customFormat="1" ht="12" x14ac:dyDescent="0.2">
      <c r="A235" s="68" t="s">
        <v>8285</v>
      </c>
      <c r="B235" s="68" t="s">
        <v>8286</v>
      </c>
      <c r="C235" s="76">
        <v>150</v>
      </c>
      <c r="D235" s="73" t="s">
        <v>8418</v>
      </c>
      <c r="E235" s="165" t="s">
        <v>3721</v>
      </c>
      <c r="F235" s="74">
        <v>43277</v>
      </c>
      <c r="G235" s="95">
        <v>50.32</v>
      </c>
      <c r="H235" s="63"/>
      <c r="I235" s="63"/>
      <c r="J235" s="63"/>
      <c r="K235" s="133"/>
      <c r="L235" s="63"/>
      <c r="M235" s="63"/>
      <c r="N235" s="63"/>
      <c r="O235" s="63"/>
      <c r="P235" s="63"/>
      <c r="Q235" s="63">
        <f t="shared" si="9"/>
        <v>50.32</v>
      </c>
      <c r="R235" s="63">
        <f t="shared" si="10"/>
        <v>0</v>
      </c>
      <c r="S235" s="63">
        <f t="shared" si="11"/>
        <v>50.32</v>
      </c>
    </row>
    <row r="236" spans="1:19" s="77" customFormat="1" ht="12" x14ac:dyDescent="0.2">
      <c r="A236" s="167">
        <v>14680</v>
      </c>
      <c r="B236" s="74" t="s">
        <v>8271</v>
      </c>
      <c r="C236" s="76">
        <v>151</v>
      </c>
      <c r="D236" s="73" t="s">
        <v>8272</v>
      </c>
      <c r="E236" s="165" t="s">
        <v>3756</v>
      </c>
      <c r="F236" s="74">
        <v>43278</v>
      </c>
      <c r="G236" s="95">
        <v>72.52</v>
      </c>
      <c r="H236" s="63"/>
      <c r="I236" s="63"/>
      <c r="J236" s="63"/>
      <c r="K236" s="133"/>
      <c r="L236" s="63"/>
      <c r="M236" s="63"/>
      <c r="N236" s="63"/>
      <c r="O236" s="63"/>
      <c r="P236" s="63"/>
      <c r="Q236" s="63">
        <f t="shared" si="9"/>
        <v>72.52</v>
      </c>
      <c r="R236" s="63">
        <f t="shared" si="10"/>
        <v>0</v>
      </c>
      <c r="S236" s="63">
        <f t="shared" si="11"/>
        <v>72.52</v>
      </c>
    </row>
    <row r="237" spans="1:19" s="77" customFormat="1" ht="12" x14ac:dyDescent="0.2">
      <c r="A237" s="68">
        <v>12598</v>
      </c>
      <c r="B237" s="68" t="s">
        <v>8273</v>
      </c>
      <c r="C237" s="76">
        <v>152</v>
      </c>
      <c r="D237" s="73" t="s">
        <v>8287</v>
      </c>
      <c r="E237" s="165" t="s">
        <v>3756</v>
      </c>
      <c r="F237" s="74">
        <v>43280</v>
      </c>
      <c r="G237" s="95">
        <f>80+162.07+41.3+559.58+106.91+268.5+173.32+249.62+166.42+241.23+78.21+558+187.5+94.02+92.31+41.3+195+89.24+45.77+1200+225+45</f>
        <v>4900.3</v>
      </c>
      <c r="H237" s="63"/>
      <c r="I237" s="63">
        <f>465+434+496+465+620+930</f>
        <v>3410</v>
      </c>
      <c r="J237" s="63"/>
      <c r="K237" s="133"/>
      <c r="L237" s="63"/>
      <c r="M237" s="63"/>
      <c r="N237" s="63"/>
      <c r="O237" s="63"/>
      <c r="P237" s="63"/>
      <c r="Q237" s="63">
        <f t="shared" si="9"/>
        <v>8310.2999999999993</v>
      </c>
      <c r="R237" s="63">
        <f t="shared" si="10"/>
        <v>0</v>
      </c>
      <c r="S237" s="63">
        <f t="shared" si="11"/>
        <v>8310.2999999999993</v>
      </c>
    </row>
    <row r="238" spans="1:19" s="77" customFormat="1" ht="12" x14ac:dyDescent="0.2">
      <c r="A238" s="68">
        <v>12599</v>
      </c>
      <c r="B238" s="68" t="s">
        <v>8273</v>
      </c>
      <c r="C238" s="76">
        <v>152</v>
      </c>
      <c r="D238" s="73" t="s">
        <v>8274</v>
      </c>
      <c r="E238" s="165" t="s">
        <v>3756</v>
      </c>
      <c r="F238" s="74">
        <v>43280</v>
      </c>
      <c r="G238" s="95">
        <f>166.72+126.43+149.36</f>
        <v>442.51</v>
      </c>
      <c r="H238" s="63"/>
      <c r="I238" s="63"/>
      <c r="J238" s="63"/>
      <c r="K238" s="133"/>
      <c r="L238" s="63"/>
      <c r="M238" s="63"/>
      <c r="N238" s="63"/>
      <c r="O238" s="63"/>
      <c r="P238" s="63"/>
      <c r="Q238" s="63">
        <f t="shared" si="9"/>
        <v>442.51</v>
      </c>
      <c r="R238" s="63">
        <f t="shared" si="10"/>
        <v>0</v>
      </c>
      <c r="S238" s="63">
        <f t="shared" si="11"/>
        <v>442.51</v>
      </c>
    </row>
    <row r="239" spans="1:19" s="77" customFormat="1" ht="12" x14ac:dyDescent="0.2">
      <c r="A239" s="68">
        <v>12599</v>
      </c>
      <c r="B239" s="68" t="s">
        <v>8273</v>
      </c>
      <c r="C239" s="76">
        <v>152</v>
      </c>
      <c r="D239" s="73" t="s">
        <v>8386</v>
      </c>
      <c r="E239" s="165" t="s">
        <v>3756</v>
      </c>
      <c r="F239" s="74">
        <v>43280</v>
      </c>
      <c r="G239" s="95">
        <v>332.48</v>
      </c>
      <c r="H239" s="63"/>
      <c r="I239" s="63"/>
      <c r="J239" s="63"/>
      <c r="K239" s="133"/>
      <c r="L239" s="63"/>
      <c r="M239" s="63"/>
      <c r="N239" s="63"/>
      <c r="O239" s="63"/>
      <c r="P239" s="63"/>
      <c r="Q239" s="63">
        <f t="shared" ref="Q239:R242" si="15">+G239+I239+K239+M239+O239</f>
        <v>332.48</v>
      </c>
      <c r="R239" s="63">
        <f t="shared" si="15"/>
        <v>0</v>
      </c>
      <c r="S239" s="63">
        <f>+Q239+R239</f>
        <v>332.48</v>
      </c>
    </row>
    <row r="240" spans="1:19" s="77" customFormat="1" ht="12" x14ac:dyDescent="0.2">
      <c r="A240" s="68">
        <v>14920</v>
      </c>
      <c r="B240" s="68" t="s">
        <v>8288</v>
      </c>
      <c r="C240" s="76">
        <v>153</v>
      </c>
      <c r="D240" s="73" t="s">
        <v>8289</v>
      </c>
      <c r="E240" s="165" t="s">
        <v>3756</v>
      </c>
      <c r="F240" s="74">
        <v>43281</v>
      </c>
      <c r="G240" s="95">
        <f>4.43+188.8</f>
        <v>193.23000000000002</v>
      </c>
      <c r="H240" s="63"/>
      <c r="I240" s="63"/>
      <c r="J240" s="63"/>
      <c r="K240" s="133"/>
      <c r="L240" s="63"/>
      <c r="M240" s="63"/>
      <c r="N240" s="63"/>
      <c r="O240" s="63"/>
      <c r="P240" s="63"/>
      <c r="Q240" s="63">
        <f t="shared" si="15"/>
        <v>193.23000000000002</v>
      </c>
      <c r="R240" s="63">
        <f t="shared" si="15"/>
        <v>0</v>
      </c>
      <c r="S240" s="63">
        <f>+Q240+R240</f>
        <v>193.23000000000002</v>
      </c>
    </row>
    <row r="241" spans="1:19" s="77" customFormat="1" ht="12" x14ac:dyDescent="0.2">
      <c r="A241" s="68">
        <v>11616</v>
      </c>
      <c r="B241" s="68" t="s">
        <v>8290</v>
      </c>
      <c r="C241" s="88">
        <v>154</v>
      </c>
      <c r="D241" s="73" t="s">
        <v>8291</v>
      </c>
      <c r="E241" s="165" t="s">
        <v>3756</v>
      </c>
      <c r="F241" s="74">
        <v>43281</v>
      </c>
      <c r="G241" s="95">
        <f>139.64+238</f>
        <v>377.64</v>
      </c>
      <c r="H241" s="63"/>
      <c r="I241" s="63"/>
      <c r="J241" s="63"/>
      <c r="K241" s="133"/>
      <c r="L241" s="63"/>
      <c r="M241" s="63"/>
      <c r="N241" s="63"/>
      <c r="O241" s="63"/>
      <c r="P241" s="63"/>
      <c r="Q241" s="63">
        <f t="shared" si="15"/>
        <v>377.64</v>
      </c>
      <c r="R241" s="63">
        <f t="shared" si="15"/>
        <v>0</v>
      </c>
      <c r="S241" s="63">
        <f>+Q241+R241</f>
        <v>377.64</v>
      </c>
    </row>
    <row r="242" spans="1:19" s="77" customFormat="1" ht="12" x14ac:dyDescent="0.2">
      <c r="A242" s="68" t="s">
        <v>8296</v>
      </c>
      <c r="B242" s="68" t="s">
        <v>8297</v>
      </c>
      <c r="C242" s="88">
        <v>155</v>
      </c>
      <c r="D242" s="73" t="s">
        <v>8298</v>
      </c>
      <c r="E242" s="165" t="s">
        <v>3721</v>
      </c>
      <c r="F242" s="74">
        <v>43282</v>
      </c>
      <c r="G242" s="95">
        <v>48</v>
      </c>
      <c r="H242" s="63"/>
      <c r="I242" s="63"/>
      <c r="J242" s="63"/>
      <c r="K242" s="133"/>
      <c r="L242" s="63"/>
      <c r="M242" s="63"/>
      <c r="N242" s="63"/>
      <c r="O242" s="63"/>
      <c r="P242" s="63"/>
      <c r="Q242" s="63">
        <f t="shared" si="15"/>
        <v>48</v>
      </c>
      <c r="R242" s="63">
        <f t="shared" si="15"/>
        <v>0</v>
      </c>
      <c r="S242" s="63">
        <f>+Q242+R242</f>
        <v>48</v>
      </c>
    </row>
    <row r="243" spans="1:19" s="77" customFormat="1" ht="12" x14ac:dyDescent="0.2">
      <c r="A243" s="68">
        <v>17114</v>
      </c>
      <c r="B243" s="68" t="s">
        <v>8299</v>
      </c>
      <c r="C243" s="88">
        <v>156</v>
      </c>
      <c r="D243" s="73" t="s">
        <v>8300</v>
      </c>
      <c r="E243" s="165" t="s">
        <v>3721</v>
      </c>
      <c r="F243" s="74">
        <v>43282</v>
      </c>
      <c r="G243" s="95">
        <v>161.41</v>
      </c>
      <c r="H243" s="63"/>
      <c r="I243" s="63"/>
      <c r="J243" s="63"/>
      <c r="K243" s="133"/>
      <c r="L243" s="63"/>
      <c r="M243" s="63"/>
      <c r="N243" s="63"/>
      <c r="O243" s="63"/>
      <c r="P243" s="63"/>
      <c r="Q243" s="63">
        <f t="shared" si="9"/>
        <v>161.41</v>
      </c>
      <c r="R243" s="63">
        <f t="shared" si="10"/>
        <v>0</v>
      </c>
      <c r="S243" s="63">
        <f t="shared" si="11"/>
        <v>161.41</v>
      </c>
    </row>
    <row r="244" spans="1:19" s="77" customFormat="1" ht="12" x14ac:dyDescent="0.2">
      <c r="A244" s="68" t="s">
        <v>8301</v>
      </c>
      <c r="B244" s="68" t="s">
        <v>8302</v>
      </c>
      <c r="C244" s="88">
        <v>157</v>
      </c>
      <c r="D244" s="73" t="s">
        <v>8303</v>
      </c>
      <c r="E244" s="165" t="s">
        <v>3721</v>
      </c>
      <c r="F244" s="74">
        <v>43283</v>
      </c>
      <c r="G244" s="95">
        <f>113+60+336.4</f>
        <v>509.4</v>
      </c>
      <c r="H244" s="63"/>
      <c r="I244" s="63">
        <v>124</v>
      </c>
      <c r="J244" s="63"/>
      <c r="K244" s="133"/>
      <c r="L244" s="63"/>
      <c r="M244" s="63"/>
      <c r="N244" s="63"/>
      <c r="O244" s="63"/>
      <c r="P244" s="63"/>
      <c r="Q244" s="63">
        <f t="shared" si="9"/>
        <v>633.4</v>
      </c>
      <c r="R244" s="63">
        <f t="shared" si="10"/>
        <v>0</v>
      </c>
      <c r="S244" s="63">
        <f t="shared" si="11"/>
        <v>633.4</v>
      </c>
    </row>
    <row r="245" spans="1:19" s="77" customFormat="1" ht="12" x14ac:dyDescent="0.2">
      <c r="A245" s="68">
        <v>9524</v>
      </c>
      <c r="B245" s="68" t="s">
        <v>8304</v>
      </c>
      <c r="C245" s="88">
        <v>158</v>
      </c>
      <c r="D245" s="73" t="s">
        <v>8305</v>
      </c>
      <c r="E245" s="165" t="s">
        <v>8306</v>
      </c>
      <c r="F245" s="74">
        <v>43284</v>
      </c>
      <c r="G245" s="95">
        <f>330.22+300</f>
        <v>630.22</v>
      </c>
      <c r="H245" s="63"/>
      <c r="I245" s="63"/>
      <c r="J245" s="63"/>
      <c r="K245" s="133"/>
      <c r="L245" s="63"/>
      <c r="M245" s="63"/>
      <c r="N245" s="63"/>
      <c r="O245" s="63"/>
      <c r="P245" s="63"/>
      <c r="Q245" s="63">
        <f t="shared" si="9"/>
        <v>630.22</v>
      </c>
      <c r="R245" s="63">
        <f t="shared" si="10"/>
        <v>0</v>
      </c>
      <c r="S245" s="63">
        <f t="shared" si="11"/>
        <v>630.22</v>
      </c>
    </row>
    <row r="246" spans="1:19" s="77" customFormat="1" ht="12" x14ac:dyDescent="0.2">
      <c r="A246" s="68" t="s">
        <v>8307</v>
      </c>
      <c r="B246" s="68" t="s">
        <v>8308</v>
      </c>
      <c r="C246" s="88">
        <v>159</v>
      </c>
      <c r="D246" s="73" t="s">
        <v>8309</v>
      </c>
      <c r="E246" s="165" t="s">
        <v>3721</v>
      </c>
      <c r="F246" s="74">
        <v>43284</v>
      </c>
      <c r="G246" s="95"/>
      <c r="H246" s="63"/>
      <c r="I246" s="63"/>
      <c r="J246" s="63"/>
      <c r="K246" s="133"/>
      <c r="L246" s="63"/>
      <c r="M246" s="63"/>
      <c r="N246" s="63"/>
      <c r="O246" s="63"/>
      <c r="P246" s="63"/>
      <c r="Q246" s="63">
        <f t="shared" si="9"/>
        <v>0</v>
      </c>
      <c r="R246" s="63">
        <f t="shared" si="10"/>
        <v>0</v>
      </c>
      <c r="S246" s="63">
        <f t="shared" si="11"/>
        <v>0</v>
      </c>
    </row>
    <row r="247" spans="1:19" s="77" customFormat="1" ht="12" x14ac:dyDescent="0.2">
      <c r="A247" s="68" t="s">
        <v>8310</v>
      </c>
      <c r="B247" s="68" t="s">
        <v>8311</v>
      </c>
      <c r="C247" s="88">
        <v>160</v>
      </c>
      <c r="D247" s="73" t="s">
        <v>8312</v>
      </c>
      <c r="E247" s="165" t="s">
        <v>3721</v>
      </c>
      <c r="F247" s="74">
        <v>43285</v>
      </c>
      <c r="G247" s="95">
        <v>134.13999999999999</v>
      </c>
      <c r="H247" s="63"/>
      <c r="I247" s="63"/>
      <c r="J247" s="63"/>
      <c r="K247" s="133"/>
      <c r="L247" s="63"/>
      <c r="M247" s="63"/>
      <c r="N247" s="63"/>
      <c r="O247" s="63"/>
      <c r="P247" s="63"/>
      <c r="Q247" s="63">
        <f t="shared" si="9"/>
        <v>134.13999999999999</v>
      </c>
      <c r="R247" s="63">
        <f t="shared" si="10"/>
        <v>0</v>
      </c>
      <c r="S247" s="63">
        <f t="shared" si="11"/>
        <v>134.13999999999999</v>
      </c>
    </row>
    <row r="248" spans="1:19" s="77" customFormat="1" ht="12" x14ac:dyDescent="0.2">
      <c r="A248" s="68">
        <v>16237</v>
      </c>
      <c r="B248" s="68" t="s">
        <v>8313</v>
      </c>
      <c r="C248" s="88">
        <v>161</v>
      </c>
      <c r="D248" s="73" t="s">
        <v>8314</v>
      </c>
      <c r="E248" s="165" t="s">
        <v>3721</v>
      </c>
      <c r="F248" s="74">
        <v>43289</v>
      </c>
      <c r="G248" s="95">
        <v>80.52</v>
      </c>
      <c r="H248" s="63"/>
      <c r="I248" s="63"/>
      <c r="J248" s="63"/>
      <c r="K248" s="133"/>
      <c r="L248" s="63"/>
      <c r="M248" s="63"/>
      <c r="N248" s="63"/>
      <c r="O248" s="63"/>
      <c r="P248" s="63"/>
      <c r="Q248" s="63">
        <f t="shared" si="9"/>
        <v>80.52</v>
      </c>
      <c r="R248" s="63">
        <f t="shared" si="10"/>
        <v>0</v>
      </c>
      <c r="S248" s="63">
        <f t="shared" si="11"/>
        <v>80.52</v>
      </c>
    </row>
    <row r="249" spans="1:19" s="77" customFormat="1" ht="12" x14ac:dyDescent="0.2">
      <c r="A249" s="68" t="s">
        <v>8315</v>
      </c>
      <c r="B249" s="68" t="s">
        <v>8316</v>
      </c>
      <c r="C249" s="88">
        <v>162</v>
      </c>
      <c r="D249" s="73" t="s">
        <v>8317</v>
      </c>
      <c r="E249" s="165" t="s">
        <v>8318</v>
      </c>
      <c r="F249" s="74">
        <v>43290</v>
      </c>
      <c r="G249" s="95">
        <v>230.14</v>
      </c>
      <c r="H249" s="63"/>
      <c r="I249" s="63"/>
      <c r="J249" s="63"/>
      <c r="K249" s="133"/>
      <c r="L249" s="63"/>
      <c r="M249" s="63"/>
      <c r="N249" s="63"/>
      <c r="O249" s="63"/>
      <c r="P249" s="63"/>
      <c r="Q249" s="63">
        <f t="shared" si="9"/>
        <v>230.14</v>
      </c>
      <c r="R249" s="63">
        <f t="shared" si="10"/>
        <v>0</v>
      </c>
      <c r="S249" s="63">
        <f t="shared" si="11"/>
        <v>230.14</v>
      </c>
    </row>
    <row r="250" spans="1:19" s="77" customFormat="1" ht="12" x14ac:dyDescent="0.2">
      <c r="A250" s="68">
        <v>5935</v>
      </c>
      <c r="B250" s="68" t="s">
        <v>8319</v>
      </c>
      <c r="C250" s="88">
        <v>163</v>
      </c>
      <c r="D250" s="73" t="s">
        <v>8320</v>
      </c>
      <c r="E250" s="165" t="s">
        <v>3721</v>
      </c>
      <c r="F250" s="74">
        <v>43290</v>
      </c>
      <c r="G250" s="95">
        <f>1.35+161.66</f>
        <v>163.01</v>
      </c>
      <c r="H250" s="63"/>
      <c r="I250" s="63"/>
      <c r="J250" s="63"/>
      <c r="K250" s="133"/>
      <c r="L250" s="63"/>
      <c r="M250" s="63"/>
      <c r="N250" s="63"/>
      <c r="O250" s="63"/>
      <c r="P250" s="63"/>
      <c r="Q250" s="63">
        <f t="shared" si="9"/>
        <v>163.01</v>
      </c>
      <c r="R250" s="63">
        <f t="shared" si="10"/>
        <v>0</v>
      </c>
      <c r="S250" s="63">
        <f t="shared" si="11"/>
        <v>163.01</v>
      </c>
    </row>
    <row r="251" spans="1:19" s="77" customFormat="1" ht="12" x14ac:dyDescent="0.2">
      <c r="A251" s="68">
        <v>14308</v>
      </c>
      <c r="B251" s="68" t="s">
        <v>8321</v>
      </c>
      <c r="C251" s="88">
        <v>164</v>
      </c>
      <c r="D251" s="73" t="s">
        <v>8322</v>
      </c>
      <c r="E251" s="165" t="s">
        <v>3721</v>
      </c>
      <c r="F251" s="74">
        <v>43290</v>
      </c>
      <c r="G251" s="95">
        <v>406.75</v>
      </c>
      <c r="H251" s="63"/>
      <c r="I251" s="63"/>
      <c r="J251" s="63"/>
      <c r="K251" s="133"/>
      <c r="L251" s="63"/>
      <c r="M251" s="63"/>
      <c r="N251" s="63"/>
      <c r="O251" s="63"/>
      <c r="P251" s="63"/>
      <c r="Q251" s="63">
        <f t="shared" si="9"/>
        <v>406.75</v>
      </c>
      <c r="R251" s="63">
        <f t="shared" si="10"/>
        <v>0</v>
      </c>
      <c r="S251" s="63">
        <f t="shared" si="11"/>
        <v>406.75</v>
      </c>
    </row>
    <row r="252" spans="1:19" s="77" customFormat="1" ht="12" x14ac:dyDescent="0.2">
      <c r="A252" s="68">
        <v>6616</v>
      </c>
      <c r="B252" s="68" t="s">
        <v>8323</v>
      </c>
      <c r="C252" s="88">
        <v>165</v>
      </c>
      <c r="D252" s="73" t="s">
        <v>8324</v>
      </c>
      <c r="E252" s="165" t="s">
        <v>3721</v>
      </c>
      <c r="F252" s="74">
        <v>43290</v>
      </c>
      <c r="G252" s="95"/>
      <c r="H252" s="63"/>
      <c r="I252" s="63"/>
      <c r="J252" s="63"/>
      <c r="K252" s="133"/>
      <c r="L252" s="63"/>
      <c r="M252" s="63"/>
      <c r="N252" s="63"/>
      <c r="O252" s="63"/>
      <c r="P252" s="63"/>
      <c r="Q252" s="63">
        <f t="shared" si="9"/>
        <v>0</v>
      </c>
      <c r="R252" s="63">
        <f t="shared" si="10"/>
        <v>0</v>
      </c>
      <c r="S252" s="63">
        <f t="shared" si="11"/>
        <v>0</v>
      </c>
    </row>
    <row r="253" spans="1:19" s="77" customFormat="1" ht="12" x14ac:dyDescent="0.2">
      <c r="A253" s="68">
        <v>11392</v>
      </c>
      <c r="B253" s="68" t="s">
        <v>8325</v>
      </c>
      <c r="C253" s="88">
        <v>166</v>
      </c>
      <c r="D253" s="73" t="s">
        <v>8326</v>
      </c>
      <c r="E253" s="165" t="s">
        <v>3721</v>
      </c>
      <c r="F253" s="74">
        <v>43290</v>
      </c>
      <c r="G253" s="95">
        <v>279.35000000000002</v>
      </c>
      <c r="H253" s="63"/>
      <c r="I253" s="63"/>
      <c r="J253" s="63"/>
      <c r="K253" s="133"/>
      <c r="L253" s="63"/>
      <c r="M253" s="63"/>
      <c r="N253" s="63"/>
      <c r="O253" s="63"/>
      <c r="P253" s="63"/>
      <c r="Q253" s="63">
        <f t="shared" si="9"/>
        <v>279.35000000000002</v>
      </c>
      <c r="R253" s="63">
        <f t="shared" si="10"/>
        <v>0</v>
      </c>
      <c r="S253" s="63">
        <f t="shared" si="11"/>
        <v>279.35000000000002</v>
      </c>
    </row>
    <row r="254" spans="1:19" s="77" customFormat="1" ht="12" x14ac:dyDescent="0.2">
      <c r="A254" s="68">
        <v>11392</v>
      </c>
      <c r="B254" s="68" t="s">
        <v>8325</v>
      </c>
      <c r="C254" s="88">
        <v>166</v>
      </c>
      <c r="D254" s="73" t="s">
        <v>8327</v>
      </c>
      <c r="E254" s="165" t="s">
        <v>3721</v>
      </c>
      <c r="F254" s="74">
        <v>43290</v>
      </c>
      <c r="G254" s="95">
        <v>88.38</v>
      </c>
      <c r="H254" s="63"/>
      <c r="I254" s="63"/>
      <c r="J254" s="63"/>
      <c r="K254" s="133"/>
      <c r="L254" s="63"/>
      <c r="M254" s="63"/>
      <c r="N254" s="63"/>
      <c r="O254" s="63"/>
      <c r="P254" s="63"/>
      <c r="Q254" s="63">
        <f t="shared" si="9"/>
        <v>88.38</v>
      </c>
      <c r="R254" s="63">
        <f t="shared" si="10"/>
        <v>0</v>
      </c>
      <c r="S254" s="63">
        <f t="shared" si="11"/>
        <v>88.38</v>
      </c>
    </row>
    <row r="255" spans="1:19" s="77" customFormat="1" ht="12" x14ac:dyDescent="0.2">
      <c r="A255" s="68" t="s">
        <v>8328</v>
      </c>
      <c r="B255" s="68" t="s">
        <v>8329</v>
      </c>
      <c r="C255" s="88">
        <v>167</v>
      </c>
      <c r="D255" s="73" t="s">
        <v>8330</v>
      </c>
      <c r="E255" s="165" t="s">
        <v>3721</v>
      </c>
      <c r="F255" s="74">
        <v>43291</v>
      </c>
      <c r="G255" s="95">
        <f>396.83+1270</f>
        <v>1666.83</v>
      </c>
      <c r="H255" s="63"/>
      <c r="I255" s="63"/>
      <c r="J255" s="63"/>
      <c r="K255" s="133"/>
      <c r="L255" s="63"/>
      <c r="M255" s="63"/>
      <c r="N255" s="63"/>
      <c r="O255" s="63"/>
      <c r="P255" s="63"/>
      <c r="Q255" s="63">
        <f t="shared" si="9"/>
        <v>1666.83</v>
      </c>
      <c r="R255" s="63">
        <f t="shared" si="10"/>
        <v>0</v>
      </c>
      <c r="S255" s="63">
        <f t="shared" si="11"/>
        <v>1666.83</v>
      </c>
    </row>
    <row r="256" spans="1:19" s="77" customFormat="1" ht="12" x14ac:dyDescent="0.2">
      <c r="A256" s="68">
        <v>17348</v>
      </c>
      <c r="B256" s="68" t="s">
        <v>8331</v>
      </c>
      <c r="C256" s="88">
        <v>168</v>
      </c>
      <c r="D256" s="73" t="s">
        <v>8332</v>
      </c>
      <c r="E256" s="165" t="s">
        <v>3721</v>
      </c>
      <c r="F256" s="74">
        <v>43291</v>
      </c>
      <c r="G256" s="95">
        <f>20.4+618.32+58.17</f>
        <v>696.89</v>
      </c>
      <c r="H256" s="63"/>
      <c r="I256" s="63">
        <v>1116</v>
      </c>
      <c r="J256" s="63"/>
      <c r="K256" s="133"/>
      <c r="L256" s="63"/>
      <c r="M256" s="63"/>
      <c r="N256" s="63"/>
      <c r="O256" s="63"/>
      <c r="P256" s="63"/>
      <c r="Q256" s="63">
        <f t="shared" si="9"/>
        <v>1812.8899999999999</v>
      </c>
      <c r="R256" s="63">
        <f t="shared" si="10"/>
        <v>0</v>
      </c>
      <c r="S256" s="63">
        <f t="shared" si="11"/>
        <v>1812.8899999999999</v>
      </c>
    </row>
    <row r="257" spans="1:19" s="77" customFormat="1" ht="12" x14ac:dyDescent="0.2">
      <c r="A257" s="68">
        <v>13418</v>
      </c>
      <c r="B257" s="68" t="s">
        <v>4207</v>
      </c>
      <c r="C257" s="88">
        <v>169</v>
      </c>
      <c r="D257" s="73" t="s">
        <v>8333</v>
      </c>
      <c r="E257" s="165" t="s">
        <v>3721</v>
      </c>
      <c r="F257" s="74">
        <v>43292</v>
      </c>
      <c r="G257" s="95">
        <f>25.2+0.35+174.64</f>
        <v>200.19</v>
      </c>
      <c r="H257" s="63"/>
      <c r="I257" s="63"/>
      <c r="J257" s="63"/>
      <c r="K257" s="133"/>
      <c r="L257" s="63"/>
      <c r="M257" s="63"/>
      <c r="N257" s="63"/>
      <c r="O257" s="63"/>
      <c r="P257" s="63"/>
      <c r="Q257" s="63">
        <f t="shared" si="9"/>
        <v>200.19</v>
      </c>
      <c r="R257" s="63">
        <f t="shared" si="10"/>
        <v>0</v>
      </c>
      <c r="S257" s="63">
        <f t="shared" si="11"/>
        <v>200.19</v>
      </c>
    </row>
    <row r="258" spans="1:19" s="77" customFormat="1" ht="12" x14ac:dyDescent="0.2">
      <c r="A258" s="68" t="s">
        <v>8334</v>
      </c>
      <c r="B258" s="68" t="s">
        <v>8335</v>
      </c>
      <c r="C258" s="88">
        <v>170</v>
      </c>
      <c r="D258" s="73" t="s">
        <v>8336</v>
      </c>
      <c r="E258" s="165" t="s">
        <v>3721</v>
      </c>
      <c r="F258" s="74">
        <v>43292</v>
      </c>
      <c r="G258" s="95">
        <f>282.76+400</f>
        <v>682.76</v>
      </c>
      <c r="H258" s="63"/>
      <c r="I258" s="63"/>
      <c r="J258" s="63"/>
      <c r="K258" s="133"/>
      <c r="L258" s="63"/>
      <c r="M258" s="63"/>
      <c r="N258" s="63"/>
      <c r="O258" s="63"/>
      <c r="P258" s="63"/>
      <c r="Q258" s="63">
        <f t="shared" si="9"/>
        <v>682.76</v>
      </c>
      <c r="R258" s="63">
        <f t="shared" si="10"/>
        <v>0</v>
      </c>
      <c r="S258" s="63">
        <f t="shared" si="11"/>
        <v>682.76</v>
      </c>
    </row>
    <row r="259" spans="1:19" s="77" customFormat="1" ht="12" x14ac:dyDescent="0.2">
      <c r="A259" s="68">
        <v>9581</v>
      </c>
      <c r="B259" s="68" t="s">
        <v>7985</v>
      </c>
      <c r="C259" s="88">
        <v>171</v>
      </c>
      <c r="D259" s="73" t="s">
        <v>8337</v>
      </c>
      <c r="E259" s="165" t="s">
        <v>3721</v>
      </c>
      <c r="F259" s="74">
        <v>43295</v>
      </c>
      <c r="G259" s="95">
        <v>20742.330000000002</v>
      </c>
      <c r="H259" s="63"/>
      <c r="I259" s="63"/>
      <c r="J259" s="63"/>
      <c r="K259" s="133"/>
      <c r="L259" s="63"/>
      <c r="M259" s="63"/>
      <c r="N259" s="63"/>
      <c r="O259" s="63"/>
      <c r="P259" s="63"/>
      <c r="Q259" s="63">
        <f t="shared" si="9"/>
        <v>20742.330000000002</v>
      </c>
      <c r="R259" s="63">
        <f t="shared" si="10"/>
        <v>0</v>
      </c>
      <c r="S259" s="63">
        <f t="shared" si="11"/>
        <v>20742.330000000002</v>
      </c>
    </row>
    <row r="260" spans="1:19" s="77" customFormat="1" ht="12" x14ac:dyDescent="0.2">
      <c r="A260" s="68">
        <v>11179</v>
      </c>
      <c r="B260" s="68" t="s">
        <v>8338</v>
      </c>
      <c r="C260" s="88">
        <v>172</v>
      </c>
      <c r="D260" s="73" t="s">
        <v>8339</v>
      </c>
      <c r="E260" s="165" t="s">
        <v>3721</v>
      </c>
      <c r="F260" s="74">
        <v>43296</v>
      </c>
      <c r="G260" s="95">
        <v>83</v>
      </c>
      <c r="H260" s="63"/>
      <c r="I260" s="63"/>
      <c r="J260" s="63"/>
      <c r="K260" s="133"/>
      <c r="L260" s="63"/>
      <c r="M260" s="63"/>
      <c r="N260" s="63"/>
      <c r="O260" s="63"/>
      <c r="P260" s="63"/>
      <c r="Q260" s="63">
        <f t="shared" si="9"/>
        <v>83</v>
      </c>
      <c r="R260" s="63">
        <f t="shared" si="10"/>
        <v>0</v>
      </c>
      <c r="S260" s="63">
        <f t="shared" si="11"/>
        <v>83</v>
      </c>
    </row>
    <row r="261" spans="1:19" s="77" customFormat="1" ht="12" x14ac:dyDescent="0.2">
      <c r="A261" s="68">
        <v>11180</v>
      </c>
      <c r="B261" s="68" t="s">
        <v>8364</v>
      </c>
      <c r="C261" s="88">
        <v>172</v>
      </c>
      <c r="D261" s="73" t="s">
        <v>8340</v>
      </c>
      <c r="E261" s="165" t="s">
        <v>3721</v>
      </c>
      <c r="F261" s="74">
        <v>43296</v>
      </c>
      <c r="G261" s="95">
        <v>75</v>
      </c>
      <c r="H261" s="63"/>
      <c r="I261" s="63"/>
      <c r="J261" s="63"/>
      <c r="K261" s="133"/>
      <c r="L261" s="63"/>
      <c r="M261" s="63"/>
      <c r="N261" s="63"/>
      <c r="O261" s="63"/>
      <c r="P261" s="63"/>
      <c r="Q261" s="63">
        <f t="shared" si="9"/>
        <v>75</v>
      </c>
      <c r="R261" s="63">
        <f t="shared" si="10"/>
        <v>0</v>
      </c>
      <c r="S261" s="63">
        <f t="shared" si="11"/>
        <v>75</v>
      </c>
    </row>
    <row r="262" spans="1:19" s="77" customFormat="1" ht="12" x14ac:dyDescent="0.2">
      <c r="A262" s="68" t="s">
        <v>8341</v>
      </c>
      <c r="B262" s="68" t="s">
        <v>8342</v>
      </c>
      <c r="C262" s="88">
        <v>173</v>
      </c>
      <c r="D262" s="73" t="s">
        <v>8343</v>
      </c>
      <c r="E262" s="165" t="s">
        <v>3721</v>
      </c>
      <c r="F262" s="74">
        <v>43299</v>
      </c>
      <c r="G262" s="95">
        <f>382.4+890+2975.9+75.99+740+59+370</f>
        <v>5493.29</v>
      </c>
      <c r="H262" s="63"/>
      <c r="I262" s="63">
        <v>1860</v>
      </c>
      <c r="J262" s="63"/>
      <c r="K262" s="133"/>
      <c r="L262" s="63"/>
      <c r="M262" s="63"/>
      <c r="N262" s="63"/>
      <c r="O262" s="63"/>
      <c r="P262" s="63"/>
      <c r="Q262" s="63">
        <f t="shared" si="9"/>
        <v>7353.29</v>
      </c>
      <c r="R262" s="63">
        <f t="shared" si="10"/>
        <v>0</v>
      </c>
      <c r="S262" s="63">
        <f t="shared" si="11"/>
        <v>7353.29</v>
      </c>
    </row>
    <row r="263" spans="1:19" s="77" customFormat="1" ht="12" x14ac:dyDescent="0.2">
      <c r="A263" s="68">
        <v>10114</v>
      </c>
      <c r="B263" s="68" t="s">
        <v>8344</v>
      </c>
      <c r="C263" s="88">
        <v>174</v>
      </c>
      <c r="D263" s="73" t="s">
        <v>8345</v>
      </c>
      <c r="E263" s="165" t="s">
        <v>3721</v>
      </c>
      <c r="F263" s="74">
        <v>42980</v>
      </c>
      <c r="G263" s="95">
        <f>67.97+400+488.08+250.75+295</f>
        <v>1501.8</v>
      </c>
      <c r="H263" s="63"/>
      <c r="I263" s="63">
        <v>930</v>
      </c>
      <c r="J263" s="63"/>
      <c r="K263" s="133"/>
      <c r="L263" s="63"/>
      <c r="M263" s="63"/>
      <c r="N263" s="63"/>
      <c r="O263" s="63"/>
      <c r="P263" s="63"/>
      <c r="Q263" s="63">
        <f t="shared" si="9"/>
        <v>2431.8000000000002</v>
      </c>
      <c r="R263" s="63">
        <f t="shared" si="10"/>
        <v>0</v>
      </c>
      <c r="S263" s="63">
        <f t="shared" si="11"/>
        <v>2431.8000000000002</v>
      </c>
    </row>
    <row r="264" spans="1:19" s="77" customFormat="1" ht="12" x14ac:dyDescent="0.2">
      <c r="A264" s="68" t="s">
        <v>8346</v>
      </c>
      <c r="B264" s="68" t="s">
        <v>3145</v>
      </c>
      <c r="C264" s="88">
        <v>175</v>
      </c>
      <c r="D264" s="73" t="s">
        <v>8347</v>
      </c>
      <c r="E264" s="165" t="s">
        <v>3721</v>
      </c>
      <c r="F264" s="74">
        <v>43300</v>
      </c>
      <c r="G264" s="95">
        <f>30.01+238.67+180+415</f>
        <v>863.68000000000006</v>
      </c>
      <c r="H264" s="63"/>
      <c r="I264" s="63"/>
      <c r="J264" s="63"/>
      <c r="K264" s="133"/>
      <c r="L264" s="63"/>
      <c r="M264" s="63"/>
      <c r="N264" s="63"/>
      <c r="O264" s="63"/>
      <c r="P264" s="63"/>
      <c r="Q264" s="63">
        <f t="shared" si="9"/>
        <v>863.68000000000006</v>
      </c>
      <c r="R264" s="63">
        <f t="shared" si="10"/>
        <v>0</v>
      </c>
      <c r="S264" s="63">
        <f t="shared" si="11"/>
        <v>863.68000000000006</v>
      </c>
    </row>
    <row r="265" spans="1:19" s="77" customFormat="1" ht="12" x14ac:dyDescent="0.2">
      <c r="A265" s="68" t="s">
        <v>8348</v>
      </c>
      <c r="B265" s="68" t="s">
        <v>6271</v>
      </c>
      <c r="C265" s="88">
        <v>176</v>
      </c>
      <c r="D265" s="73" t="s">
        <v>8349</v>
      </c>
      <c r="E265" s="165" t="s">
        <v>3721</v>
      </c>
      <c r="F265" s="74">
        <v>43300</v>
      </c>
      <c r="G265" s="95">
        <v>150.1</v>
      </c>
      <c r="H265" s="63"/>
      <c r="I265" s="63"/>
      <c r="J265" s="63"/>
      <c r="K265" s="133"/>
      <c r="L265" s="63"/>
      <c r="M265" s="63"/>
      <c r="N265" s="63"/>
      <c r="O265" s="63"/>
      <c r="P265" s="63"/>
      <c r="Q265" s="63">
        <f t="shared" si="9"/>
        <v>150.1</v>
      </c>
      <c r="R265" s="63">
        <f t="shared" si="10"/>
        <v>0</v>
      </c>
      <c r="S265" s="63">
        <f t="shared" si="11"/>
        <v>150.1</v>
      </c>
    </row>
    <row r="266" spans="1:19" s="77" customFormat="1" ht="12" x14ac:dyDescent="0.2">
      <c r="A266" s="68">
        <v>6237</v>
      </c>
      <c r="B266" s="68" t="s">
        <v>4873</v>
      </c>
      <c r="C266" s="88">
        <v>177</v>
      </c>
      <c r="D266" s="73" t="s">
        <v>8420</v>
      </c>
      <c r="E266" s="165" t="s">
        <v>3721</v>
      </c>
      <c r="F266" s="74">
        <v>43300</v>
      </c>
      <c r="G266" s="95">
        <v>139.74</v>
      </c>
      <c r="H266" s="63"/>
      <c r="I266" s="63"/>
      <c r="J266" s="63"/>
      <c r="K266" s="133"/>
      <c r="L266" s="63"/>
      <c r="M266" s="63"/>
      <c r="N266" s="63"/>
      <c r="O266" s="63"/>
      <c r="P266" s="63"/>
      <c r="Q266" s="63">
        <f t="shared" si="9"/>
        <v>139.74</v>
      </c>
      <c r="R266" s="63">
        <f t="shared" si="10"/>
        <v>0</v>
      </c>
      <c r="S266" s="63">
        <f t="shared" si="11"/>
        <v>139.74</v>
      </c>
    </row>
    <row r="267" spans="1:19" s="77" customFormat="1" ht="12" x14ac:dyDescent="0.2">
      <c r="A267" s="68" t="s">
        <v>8350</v>
      </c>
      <c r="B267" s="68" t="s">
        <v>8351</v>
      </c>
      <c r="C267" s="88">
        <v>178</v>
      </c>
      <c r="D267" s="73" t="s">
        <v>8419</v>
      </c>
      <c r="E267" s="165" t="s">
        <v>3721</v>
      </c>
      <c r="F267" s="74">
        <v>43302</v>
      </c>
      <c r="G267" s="95">
        <v>150.74</v>
      </c>
      <c r="H267" s="63"/>
      <c r="I267" s="63"/>
      <c r="J267" s="63"/>
      <c r="K267" s="133"/>
      <c r="L267" s="63"/>
      <c r="M267" s="63"/>
      <c r="N267" s="63"/>
      <c r="O267" s="63"/>
      <c r="P267" s="63"/>
      <c r="Q267" s="63">
        <f t="shared" si="9"/>
        <v>150.74</v>
      </c>
      <c r="R267" s="63">
        <f t="shared" si="10"/>
        <v>0</v>
      </c>
      <c r="S267" s="63">
        <f t="shared" si="11"/>
        <v>150.74</v>
      </c>
    </row>
    <row r="268" spans="1:19" s="77" customFormat="1" ht="12" x14ac:dyDescent="0.2">
      <c r="A268" s="68" t="s">
        <v>8352</v>
      </c>
      <c r="B268" s="68" t="s">
        <v>7152</v>
      </c>
      <c r="C268" s="88">
        <v>179</v>
      </c>
      <c r="D268" s="73" t="s">
        <v>8564</v>
      </c>
      <c r="E268" s="165" t="s">
        <v>3721</v>
      </c>
      <c r="F268" s="74">
        <v>43302</v>
      </c>
      <c r="G268" s="95">
        <f>9107.42+41.3+172.52+88.38+41.3+46.08+20.4+42.56+290+209.74+1003+41.3+41.3+462.76</f>
        <v>11608.059999999996</v>
      </c>
      <c r="H268" s="63"/>
      <c r="I268" s="63">
        <f>1860+1860+430</f>
        <v>4150</v>
      </c>
      <c r="J268" s="63"/>
      <c r="K268" s="133"/>
      <c r="L268" s="63"/>
      <c r="M268" s="63"/>
      <c r="N268" s="63"/>
      <c r="O268" s="63"/>
      <c r="P268" s="63"/>
      <c r="Q268" s="63">
        <f t="shared" si="9"/>
        <v>15758.059999999996</v>
      </c>
      <c r="R268" s="63">
        <f t="shared" si="10"/>
        <v>0</v>
      </c>
      <c r="S268" s="63">
        <f t="shared" si="11"/>
        <v>15758.059999999996</v>
      </c>
    </row>
    <row r="269" spans="1:19" s="77" customFormat="1" ht="12" x14ac:dyDescent="0.2">
      <c r="A269" s="68" t="s">
        <v>8353</v>
      </c>
      <c r="B269" s="68" t="s">
        <v>8354</v>
      </c>
      <c r="C269" s="88">
        <v>180</v>
      </c>
      <c r="D269" s="73" t="s">
        <v>8355</v>
      </c>
      <c r="E269" s="165" t="s">
        <v>3721</v>
      </c>
      <c r="F269" s="74">
        <v>43304</v>
      </c>
      <c r="G269" s="95">
        <f>4.07+237.18</f>
        <v>241.25</v>
      </c>
      <c r="H269" s="63"/>
      <c r="I269" s="63"/>
      <c r="J269" s="63"/>
      <c r="K269" s="133"/>
      <c r="L269" s="63"/>
      <c r="M269" s="63"/>
      <c r="N269" s="63"/>
      <c r="O269" s="63"/>
      <c r="P269" s="63"/>
      <c r="Q269" s="63">
        <f t="shared" ref="Q269:R274" si="16">+G269+I269+K269+M269+O269</f>
        <v>241.25</v>
      </c>
      <c r="R269" s="63">
        <f t="shared" si="16"/>
        <v>0</v>
      </c>
      <c r="S269" s="63">
        <f t="shared" ref="S269:S274" si="17">+Q269+R269</f>
        <v>241.25</v>
      </c>
    </row>
    <row r="270" spans="1:19" s="77" customFormat="1" ht="12" x14ac:dyDescent="0.2">
      <c r="A270" s="68" t="s">
        <v>8356</v>
      </c>
      <c r="B270" s="68" t="s">
        <v>8357</v>
      </c>
      <c r="C270" s="88">
        <v>181</v>
      </c>
      <c r="D270" s="73" t="s">
        <v>8412</v>
      </c>
      <c r="E270" s="165" t="s">
        <v>3878</v>
      </c>
      <c r="F270" s="74">
        <v>43304</v>
      </c>
      <c r="G270" s="95">
        <f>350+41.3+41.3+41.3+15.2+250+88.5+221</f>
        <v>1048.5999999999999</v>
      </c>
      <c r="H270" s="63"/>
      <c r="I270" s="63"/>
      <c r="J270" s="63"/>
      <c r="K270" s="133"/>
      <c r="L270" s="63"/>
      <c r="M270" s="63"/>
      <c r="N270" s="63"/>
      <c r="O270" s="63"/>
      <c r="P270" s="63"/>
      <c r="Q270" s="63">
        <f t="shared" si="16"/>
        <v>1048.5999999999999</v>
      </c>
      <c r="R270" s="63">
        <f t="shared" si="16"/>
        <v>0</v>
      </c>
      <c r="S270" s="63">
        <f t="shared" si="17"/>
        <v>1048.5999999999999</v>
      </c>
    </row>
    <row r="271" spans="1:19" s="77" customFormat="1" ht="12" x14ac:dyDescent="0.2">
      <c r="A271" s="68" t="s">
        <v>8358</v>
      </c>
      <c r="B271" s="68" t="s">
        <v>8359</v>
      </c>
      <c r="C271" s="88">
        <v>182</v>
      </c>
      <c r="D271" s="73" t="s">
        <v>8360</v>
      </c>
      <c r="E271" s="165" t="s">
        <v>3721</v>
      </c>
      <c r="F271" s="74">
        <v>43306</v>
      </c>
      <c r="G271" s="95">
        <v>222.08</v>
      </c>
      <c r="H271" s="63"/>
      <c r="I271" s="63"/>
      <c r="J271" s="63"/>
      <c r="K271" s="133"/>
      <c r="L271" s="63"/>
      <c r="M271" s="63"/>
      <c r="N271" s="63"/>
      <c r="O271" s="63"/>
      <c r="P271" s="63"/>
      <c r="Q271" s="63">
        <f t="shared" si="16"/>
        <v>222.08</v>
      </c>
      <c r="R271" s="63">
        <f t="shared" si="16"/>
        <v>0</v>
      </c>
      <c r="S271" s="63">
        <f t="shared" si="17"/>
        <v>222.08</v>
      </c>
    </row>
    <row r="272" spans="1:19" s="77" customFormat="1" ht="12" x14ac:dyDescent="0.2">
      <c r="A272" s="68">
        <v>8684</v>
      </c>
      <c r="B272" s="68" t="s">
        <v>8361</v>
      </c>
      <c r="C272" s="88">
        <v>183</v>
      </c>
      <c r="D272" s="73" t="s">
        <v>8362</v>
      </c>
      <c r="E272" s="165" t="s">
        <v>3721</v>
      </c>
      <c r="F272" s="74">
        <v>43307</v>
      </c>
      <c r="G272" s="95">
        <v>141.94</v>
      </c>
      <c r="H272" s="63"/>
      <c r="I272" s="63"/>
      <c r="J272" s="63"/>
      <c r="K272" s="133"/>
      <c r="L272" s="63"/>
      <c r="M272" s="63"/>
      <c r="N272" s="63"/>
      <c r="O272" s="63"/>
      <c r="P272" s="63"/>
      <c r="Q272" s="63">
        <f t="shared" si="16"/>
        <v>141.94</v>
      </c>
      <c r="R272" s="63">
        <f t="shared" si="16"/>
        <v>0</v>
      </c>
      <c r="S272" s="63">
        <f t="shared" si="17"/>
        <v>141.94</v>
      </c>
    </row>
    <row r="273" spans="1:19" s="77" customFormat="1" ht="12" x14ac:dyDescent="0.2">
      <c r="A273" s="68">
        <v>16808</v>
      </c>
      <c r="B273" s="68" t="s">
        <v>8363</v>
      </c>
      <c r="C273" s="88">
        <v>184</v>
      </c>
      <c r="D273" s="73" t="s">
        <v>8385</v>
      </c>
      <c r="E273" s="165" t="s">
        <v>19</v>
      </c>
      <c r="F273" s="74">
        <v>43307</v>
      </c>
      <c r="G273" s="95">
        <v>150.56</v>
      </c>
      <c r="H273" s="63"/>
      <c r="I273" s="63"/>
      <c r="J273" s="63"/>
      <c r="K273" s="133"/>
      <c r="L273" s="63"/>
      <c r="M273" s="63"/>
      <c r="N273" s="63"/>
      <c r="O273" s="63"/>
      <c r="P273" s="63"/>
      <c r="Q273" s="63">
        <f t="shared" si="16"/>
        <v>150.56</v>
      </c>
      <c r="R273" s="63">
        <f t="shared" si="16"/>
        <v>0</v>
      </c>
      <c r="S273" s="63">
        <f t="shared" si="17"/>
        <v>150.56</v>
      </c>
    </row>
    <row r="274" spans="1:19" s="77" customFormat="1" ht="12" x14ac:dyDescent="0.2">
      <c r="A274" s="68" t="s">
        <v>8366</v>
      </c>
      <c r="B274" s="68" t="s">
        <v>8367</v>
      </c>
      <c r="C274" s="88">
        <v>185</v>
      </c>
      <c r="D274" s="73" t="s">
        <v>8368</v>
      </c>
      <c r="E274" s="165" t="s">
        <v>19</v>
      </c>
      <c r="F274" s="74">
        <v>43311</v>
      </c>
      <c r="G274" s="95">
        <f>28.38+205.32</f>
        <v>233.7</v>
      </c>
      <c r="H274" s="63"/>
      <c r="I274" s="63"/>
      <c r="J274" s="63"/>
      <c r="K274" s="133"/>
      <c r="L274" s="63"/>
      <c r="M274" s="63"/>
      <c r="N274" s="63"/>
      <c r="O274" s="63"/>
      <c r="P274" s="63"/>
      <c r="Q274" s="63">
        <f t="shared" si="16"/>
        <v>233.7</v>
      </c>
      <c r="R274" s="63">
        <f t="shared" si="16"/>
        <v>0</v>
      </c>
      <c r="S274" s="63">
        <f t="shared" si="17"/>
        <v>233.7</v>
      </c>
    </row>
    <row r="275" spans="1:19" s="77" customFormat="1" ht="12" x14ac:dyDescent="0.2">
      <c r="A275" s="68" t="s">
        <v>8369</v>
      </c>
      <c r="B275" s="68" t="s">
        <v>8370</v>
      </c>
      <c r="C275" s="88">
        <v>186</v>
      </c>
      <c r="D275" s="73" t="s">
        <v>8371</v>
      </c>
      <c r="E275" s="165" t="s">
        <v>19</v>
      </c>
      <c r="F275" s="74">
        <v>43311</v>
      </c>
      <c r="G275" s="95">
        <v>181.51</v>
      </c>
      <c r="H275" s="63"/>
      <c r="I275" s="63"/>
      <c r="J275" s="63"/>
      <c r="K275" s="133"/>
      <c r="L275" s="63"/>
      <c r="M275" s="63"/>
      <c r="N275" s="63"/>
      <c r="O275" s="63"/>
      <c r="P275" s="63"/>
      <c r="Q275" s="63">
        <f t="shared" ref="Q275:Q338" si="18">+G275+I275+K275+M275+O275</f>
        <v>181.51</v>
      </c>
      <c r="R275" s="63">
        <f t="shared" ref="R275:R338" si="19">+H275+J275+L275+N275+P275</f>
        <v>0</v>
      </c>
      <c r="S275" s="63">
        <f t="shared" ref="S275:S338" si="20">+Q275+R275</f>
        <v>181.51</v>
      </c>
    </row>
    <row r="276" spans="1:19" s="77" customFormat="1" ht="12" x14ac:dyDescent="0.2">
      <c r="A276" s="68">
        <v>16853</v>
      </c>
      <c r="B276" s="68" t="s">
        <v>8372</v>
      </c>
      <c r="C276" s="88">
        <v>187</v>
      </c>
      <c r="D276" s="73" t="s">
        <v>8373</v>
      </c>
      <c r="E276" s="165" t="s">
        <v>19</v>
      </c>
      <c r="F276" s="74">
        <v>43311</v>
      </c>
      <c r="G276" s="95"/>
      <c r="H276" s="63"/>
      <c r="I276" s="63"/>
      <c r="J276" s="63"/>
      <c r="K276" s="133"/>
      <c r="L276" s="63"/>
      <c r="M276" s="63"/>
      <c r="N276" s="63"/>
      <c r="O276" s="63"/>
      <c r="P276" s="63"/>
      <c r="Q276" s="63">
        <f t="shared" si="18"/>
        <v>0</v>
      </c>
      <c r="R276" s="63">
        <f t="shared" si="19"/>
        <v>0</v>
      </c>
      <c r="S276" s="63">
        <f t="shared" si="20"/>
        <v>0</v>
      </c>
    </row>
    <row r="277" spans="1:19" s="77" customFormat="1" ht="12" x14ac:dyDescent="0.2">
      <c r="A277" s="68">
        <v>16853</v>
      </c>
      <c r="B277" s="68" t="s">
        <v>8372</v>
      </c>
      <c r="C277" s="88">
        <v>187</v>
      </c>
      <c r="D277" s="73" t="s">
        <v>8374</v>
      </c>
      <c r="E277" s="165" t="s">
        <v>19</v>
      </c>
      <c r="F277" s="74">
        <v>43311</v>
      </c>
      <c r="G277" s="95"/>
      <c r="H277" s="63"/>
      <c r="I277" s="63"/>
      <c r="J277" s="63"/>
      <c r="K277" s="133"/>
      <c r="L277" s="63"/>
      <c r="M277" s="63"/>
      <c r="N277" s="63"/>
      <c r="O277" s="63"/>
      <c r="P277" s="63"/>
      <c r="Q277" s="63">
        <f t="shared" si="18"/>
        <v>0</v>
      </c>
      <c r="R277" s="63">
        <f t="shared" si="19"/>
        <v>0</v>
      </c>
      <c r="S277" s="63">
        <f t="shared" si="20"/>
        <v>0</v>
      </c>
    </row>
    <row r="278" spans="1:19" s="77" customFormat="1" ht="12" x14ac:dyDescent="0.2">
      <c r="A278" s="68">
        <v>6469</v>
      </c>
      <c r="B278" s="68" t="s">
        <v>8375</v>
      </c>
      <c r="C278" s="88">
        <v>188</v>
      </c>
      <c r="D278" s="73" t="s">
        <v>8376</v>
      </c>
      <c r="E278" s="165" t="s">
        <v>4064</v>
      </c>
      <c r="F278" s="74">
        <v>43311</v>
      </c>
      <c r="G278" s="95"/>
      <c r="H278" s="63"/>
      <c r="I278" s="63"/>
      <c r="J278" s="63"/>
      <c r="K278" s="133"/>
      <c r="L278" s="63"/>
      <c r="M278" s="63">
        <v>4150</v>
      </c>
      <c r="N278" s="63"/>
      <c r="O278" s="63">
        <v>16600</v>
      </c>
      <c r="P278" s="63"/>
      <c r="Q278" s="63">
        <f t="shared" si="18"/>
        <v>20750</v>
      </c>
      <c r="R278" s="63">
        <f t="shared" si="19"/>
        <v>0</v>
      </c>
      <c r="S278" s="63">
        <f t="shared" si="20"/>
        <v>20750</v>
      </c>
    </row>
    <row r="279" spans="1:19" s="77" customFormat="1" ht="12" x14ac:dyDescent="0.2">
      <c r="A279" s="68" t="s">
        <v>8377</v>
      </c>
      <c r="B279" s="68" t="s">
        <v>8378</v>
      </c>
      <c r="C279" s="88">
        <v>189</v>
      </c>
      <c r="D279" s="73" t="s">
        <v>8379</v>
      </c>
      <c r="E279" s="165" t="s">
        <v>19</v>
      </c>
      <c r="F279" s="74">
        <v>43311</v>
      </c>
      <c r="G279" s="95">
        <f>4047.08+41.3+139.82+330.7+41.3+41.3+69.51+778.8+42.19+97.72+146.65+300+69.51+260+108.55+41.3+335+335</f>
        <v>7225.7300000000005</v>
      </c>
      <c r="H279" s="63"/>
      <c r="I279" s="63">
        <v>4150</v>
      </c>
      <c r="J279" s="63"/>
      <c r="K279" s="133"/>
      <c r="L279" s="63"/>
      <c r="M279" s="63"/>
      <c r="N279" s="63"/>
      <c r="O279" s="63"/>
      <c r="P279" s="63"/>
      <c r="Q279" s="63">
        <f t="shared" si="18"/>
        <v>11375.73</v>
      </c>
      <c r="R279" s="63">
        <f t="shared" si="19"/>
        <v>0</v>
      </c>
      <c r="S279" s="63">
        <f t="shared" si="20"/>
        <v>11375.73</v>
      </c>
    </row>
    <row r="280" spans="1:19" s="77" customFormat="1" ht="12" x14ac:dyDescent="0.2">
      <c r="A280" s="68" t="s">
        <v>8380</v>
      </c>
      <c r="B280" s="68" t="s">
        <v>8381</v>
      </c>
      <c r="C280" s="88">
        <v>190</v>
      </c>
      <c r="D280" s="73" t="s">
        <v>8382</v>
      </c>
      <c r="E280" s="165" t="s">
        <v>19</v>
      </c>
      <c r="F280" s="74">
        <v>43312</v>
      </c>
      <c r="G280" s="95">
        <v>116.52</v>
      </c>
      <c r="H280" s="63"/>
      <c r="I280" s="63"/>
      <c r="J280" s="63"/>
      <c r="K280" s="133"/>
      <c r="L280" s="63"/>
      <c r="M280" s="63"/>
      <c r="N280" s="63"/>
      <c r="O280" s="63"/>
      <c r="P280" s="63"/>
      <c r="Q280" s="63">
        <f t="shared" si="18"/>
        <v>116.52</v>
      </c>
      <c r="R280" s="63">
        <f t="shared" si="19"/>
        <v>0</v>
      </c>
      <c r="S280" s="63">
        <f t="shared" si="20"/>
        <v>116.52</v>
      </c>
    </row>
    <row r="281" spans="1:19" s="77" customFormat="1" ht="12" x14ac:dyDescent="0.2">
      <c r="A281" s="68" t="s">
        <v>8380</v>
      </c>
      <c r="B281" s="68" t="s">
        <v>8381</v>
      </c>
      <c r="C281" s="88">
        <v>190</v>
      </c>
      <c r="D281" s="73" t="s">
        <v>8383</v>
      </c>
      <c r="E281" s="165" t="s">
        <v>19</v>
      </c>
      <c r="F281" s="74">
        <v>43312</v>
      </c>
      <c r="G281" s="95">
        <v>173.32</v>
      </c>
      <c r="H281" s="63"/>
      <c r="I281" s="63"/>
      <c r="J281" s="63"/>
      <c r="K281" s="133"/>
      <c r="L281" s="63"/>
      <c r="M281" s="63"/>
      <c r="N281" s="63"/>
      <c r="O281" s="63"/>
      <c r="P281" s="63"/>
      <c r="Q281" s="63">
        <f t="shared" si="18"/>
        <v>173.32</v>
      </c>
      <c r="R281" s="63">
        <f t="shared" si="19"/>
        <v>0</v>
      </c>
      <c r="S281" s="63">
        <f t="shared" si="20"/>
        <v>173.32</v>
      </c>
    </row>
    <row r="282" spans="1:19" s="77" customFormat="1" ht="12" x14ac:dyDescent="0.2">
      <c r="A282" s="68" t="s">
        <v>8380</v>
      </c>
      <c r="B282" s="68" t="s">
        <v>8381</v>
      </c>
      <c r="C282" s="88">
        <v>190</v>
      </c>
      <c r="D282" s="73" t="s">
        <v>8384</v>
      </c>
      <c r="E282" s="165" t="s">
        <v>19</v>
      </c>
      <c r="F282" s="74">
        <v>43312</v>
      </c>
      <c r="G282" s="95">
        <v>181.41</v>
      </c>
      <c r="H282" s="63"/>
      <c r="I282" s="63"/>
      <c r="J282" s="63"/>
      <c r="K282" s="133"/>
      <c r="L282" s="63"/>
      <c r="M282" s="63"/>
      <c r="N282" s="63"/>
      <c r="O282" s="63"/>
      <c r="P282" s="63"/>
      <c r="Q282" s="63">
        <f t="shared" si="18"/>
        <v>181.41</v>
      </c>
      <c r="R282" s="63">
        <f t="shared" si="19"/>
        <v>0</v>
      </c>
      <c r="S282" s="63">
        <f t="shared" si="20"/>
        <v>181.41</v>
      </c>
    </row>
    <row r="283" spans="1:19" s="77" customFormat="1" ht="12" x14ac:dyDescent="0.2">
      <c r="A283" s="68" t="s">
        <v>8387</v>
      </c>
      <c r="B283" s="68" t="s">
        <v>8388</v>
      </c>
      <c r="C283" s="88">
        <v>191</v>
      </c>
      <c r="D283" s="73" t="s">
        <v>8389</v>
      </c>
      <c r="E283" s="165" t="s">
        <v>8390</v>
      </c>
      <c r="F283" s="74">
        <v>43317</v>
      </c>
      <c r="G283" s="95">
        <f>38+1.8</f>
        <v>39.799999999999997</v>
      </c>
      <c r="H283" s="63"/>
      <c r="I283" s="63"/>
      <c r="J283" s="63"/>
      <c r="K283" s="133"/>
      <c r="L283" s="63"/>
      <c r="M283" s="63"/>
      <c r="N283" s="63"/>
      <c r="O283" s="63"/>
      <c r="P283" s="63"/>
      <c r="Q283" s="63">
        <f t="shared" si="18"/>
        <v>39.799999999999997</v>
      </c>
      <c r="R283" s="63">
        <f t="shared" si="19"/>
        <v>0</v>
      </c>
      <c r="S283" s="63">
        <f t="shared" si="20"/>
        <v>39.799999999999997</v>
      </c>
    </row>
    <row r="284" spans="1:19" s="77" customFormat="1" ht="12" x14ac:dyDescent="0.2">
      <c r="A284" s="68">
        <v>1712</v>
      </c>
      <c r="B284" s="68" t="s">
        <v>6230</v>
      </c>
      <c r="C284" s="88">
        <v>191</v>
      </c>
      <c r="D284" s="73" t="s">
        <v>8391</v>
      </c>
      <c r="E284" s="165" t="s">
        <v>8390</v>
      </c>
      <c r="F284" s="74">
        <v>43317</v>
      </c>
      <c r="G284" s="95">
        <f>6800+1423.9+1610+440.8</f>
        <v>10274.699999999999</v>
      </c>
      <c r="H284" s="63"/>
      <c r="I284" s="63">
        <v>4150</v>
      </c>
      <c r="J284" s="63"/>
      <c r="K284" s="133"/>
      <c r="L284" s="63"/>
      <c r="M284" s="63"/>
      <c r="N284" s="63"/>
      <c r="O284" s="63"/>
      <c r="P284" s="63"/>
      <c r="Q284" s="63">
        <f t="shared" si="18"/>
        <v>14424.699999999999</v>
      </c>
      <c r="R284" s="63">
        <f t="shared" si="19"/>
        <v>0</v>
      </c>
      <c r="S284" s="63">
        <f t="shared" si="20"/>
        <v>14424.699999999999</v>
      </c>
    </row>
    <row r="285" spans="1:19" s="77" customFormat="1" ht="12" x14ac:dyDescent="0.2">
      <c r="A285" s="68">
        <v>1712</v>
      </c>
      <c r="B285" s="68" t="s">
        <v>6230</v>
      </c>
      <c r="C285" s="88">
        <v>191</v>
      </c>
      <c r="D285" s="73" t="s">
        <v>8392</v>
      </c>
      <c r="E285" s="165" t="s">
        <v>8390</v>
      </c>
      <c r="F285" s="74">
        <v>43317</v>
      </c>
      <c r="G285" s="95">
        <f>248.44+69.51+3.5+84</f>
        <v>405.45</v>
      </c>
      <c r="H285" s="63"/>
      <c r="I285" s="63"/>
      <c r="J285" s="63"/>
      <c r="K285" s="133"/>
      <c r="L285" s="63"/>
      <c r="M285" s="63"/>
      <c r="N285" s="63"/>
      <c r="O285" s="63"/>
      <c r="P285" s="63"/>
      <c r="Q285" s="63">
        <f t="shared" si="18"/>
        <v>405.45</v>
      </c>
      <c r="R285" s="63">
        <f t="shared" si="19"/>
        <v>0</v>
      </c>
      <c r="S285" s="63">
        <f t="shared" si="20"/>
        <v>405.45</v>
      </c>
    </row>
    <row r="286" spans="1:19" s="77" customFormat="1" ht="12" x14ac:dyDescent="0.2">
      <c r="A286" s="68">
        <v>1712</v>
      </c>
      <c r="B286" s="68" t="s">
        <v>6230</v>
      </c>
      <c r="C286" s="88">
        <v>191</v>
      </c>
      <c r="D286" s="73" t="s">
        <v>8666</v>
      </c>
      <c r="E286" s="165" t="s">
        <v>8390</v>
      </c>
      <c r="F286" s="74">
        <v>43317</v>
      </c>
      <c r="G286" s="95">
        <f>53+2</f>
        <v>55</v>
      </c>
      <c r="H286" s="63"/>
      <c r="I286" s="63"/>
      <c r="J286" s="63"/>
      <c r="K286" s="133"/>
      <c r="L286" s="63"/>
      <c r="M286" s="63"/>
      <c r="N286" s="63"/>
      <c r="O286" s="63"/>
      <c r="P286" s="63"/>
      <c r="Q286" s="63">
        <f t="shared" si="18"/>
        <v>55</v>
      </c>
      <c r="R286" s="63">
        <f t="shared" si="19"/>
        <v>0</v>
      </c>
      <c r="S286" s="63">
        <f t="shared" si="20"/>
        <v>55</v>
      </c>
    </row>
    <row r="287" spans="1:19" s="77" customFormat="1" ht="12" x14ac:dyDescent="0.2">
      <c r="A287" s="68" t="s">
        <v>8393</v>
      </c>
      <c r="B287" s="68" t="s">
        <v>8394</v>
      </c>
      <c r="C287" s="88">
        <v>192</v>
      </c>
      <c r="D287" s="73" t="s">
        <v>8395</v>
      </c>
      <c r="E287" s="165" t="s">
        <v>19</v>
      </c>
      <c r="F287" s="74">
        <v>43317</v>
      </c>
      <c r="G287" s="95">
        <f>204.92+221.42</f>
        <v>426.34</v>
      </c>
      <c r="H287" s="63"/>
      <c r="I287" s="63"/>
      <c r="J287" s="63"/>
      <c r="K287" s="133"/>
      <c r="L287" s="63"/>
      <c r="M287" s="63"/>
      <c r="N287" s="63"/>
      <c r="O287" s="63"/>
      <c r="P287" s="63"/>
      <c r="Q287" s="63">
        <f t="shared" si="18"/>
        <v>426.34</v>
      </c>
      <c r="R287" s="63">
        <f t="shared" si="19"/>
        <v>0</v>
      </c>
      <c r="S287" s="63">
        <f t="shared" si="20"/>
        <v>426.34</v>
      </c>
    </row>
    <row r="288" spans="1:19" s="77" customFormat="1" ht="12" x14ac:dyDescent="0.2">
      <c r="A288" s="68" t="s">
        <v>8396</v>
      </c>
      <c r="B288" s="68" t="s">
        <v>8397</v>
      </c>
      <c r="C288" s="88">
        <v>193</v>
      </c>
      <c r="D288" s="73" t="s">
        <v>8398</v>
      </c>
      <c r="E288" s="165" t="s">
        <v>8390</v>
      </c>
      <c r="F288" s="74">
        <v>43319</v>
      </c>
      <c r="G288" s="95"/>
      <c r="H288" s="63"/>
      <c r="I288" s="63"/>
      <c r="J288" s="63"/>
      <c r="K288" s="133"/>
      <c r="L288" s="63"/>
      <c r="M288" s="63"/>
      <c r="N288" s="63"/>
      <c r="O288" s="63"/>
      <c r="P288" s="63"/>
      <c r="Q288" s="63">
        <f t="shared" si="18"/>
        <v>0</v>
      </c>
      <c r="R288" s="63">
        <f t="shared" si="19"/>
        <v>0</v>
      </c>
      <c r="S288" s="63">
        <f t="shared" si="20"/>
        <v>0</v>
      </c>
    </row>
    <row r="289" spans="1:19" s="77" customFormat="1" ht="12" x14ac:dyDescent="0.2">
      <c r="A289" s="68" t="s">
        <v>8396</v>
      </c>
      <c r="B289" s="68" t="s">
        <v>8397</v>
      </c>
      <c r="C289" s="88">
        <v>193</v>
      </c>
      <c r="D289" s="73" t="s">
        <v>8399</v>
      </c>
      <c r="E289" s="165" t="s">
        <v>8390</v>
      </c>
      <c r="F289" s="74">
        <v>43319</v>
      </c>
      <c r="G289" s="95"/>
      <c r="H289" s="63"/>
      <c r="I289" s="63"/>
      <c r="J289" s="63"/>
      <c r="K289" s="133"/>
      <c r="L289" s="63"/>
      <c r="M289" s="63"/>
      <c r="N289" s="63"/>
      <c r="O289" s="63"/>
      <c r="P289" s="63"/>
      <c r="Q289" s="63">
        <f t="shared" si="18"/>
        <v>0</v>
      </c>
      <c r="R289" s="63">
        <f t="shared" si="19"/>
        <v>0</v>
      </c>
      <c r="S289" s="63">
        <f t="shared" si="20"/>
        <v>0</v>
      </c>
    </row>
    <row r="290" spans="1:19" s="77" customFormat="1" ht="12" x14ac:dyDescent="0.2">
      <c r="A290" s="68" t="s">
        <v>8396</v>
      </c>
      <c r="B290" s="68" t="s">
        <v>8397</v>
      </c>
      <c r="C290" s="88">
        <v>193</v>
      </c>
      <c r="D290" s="73" t="s">
        <v>8400</v>
      </c>
      <c r="E290" s="165" t="s">
        <v>8390</v>
      </c>
      <c r="F290" s="74">
        <v>43319</v>
      </c>
      <c r="G290" s="95"/>
      <c r="H290" s="63"/>
      <c r="I290" s="63"/>
      <c r="J290" s="63"/>
      <c r="K290" s="133"/>
      <c r="L290" s="63"/>
      <c r="M290" s="63"/>
      <c r="N290" s="63"/>
      <c r="O290" s="63"/>
      <c r="P290" s="63"/>
      <c r="Q290" s="63">
        <f t="shared" si="18"/>
        <v>0</v>
      </c>
      <c r="R290" s="63">
        <f t="shared" si="19"/>
        <v>0</v>
      </c>
      <c r="S290" s="63">
        <f t="shared" si="20"/>
        <v>0</v>
      </c>
    </row>
    <row r="291" spans="1:19" s="77" customFormat="1" ht="12" x14ac:dyDescent="0.2">
      <c r="A291" s="68">
        <v>8466</v>
      </c>
      <c r="B291" s="68" t="s">
        <v>8401</v>
      </c>
      <c r="C291" s="88">
        <v>194</v>
      </c>
      <c r="D291" s="73" t="s">
        <v>8402</v>
      </c>
      <c r="E291" s="165" t="s">
        <v>19</v>
      </c>
      <c r="F291" s="74">
        <v>43321</v>
      </c>
      <c r="G291" s="95">
        <f>140.42+3.72</f>
        <v>144.13999999999999</v>
      </c>
      <c r="H291" s="63"/>
      <c r="I291" s="63"/>
      <c r="J291" s="63"/>
      <c r="K291" s="133"/>
      <c r="L291" s="63"/>
      <c r="M291" s="63"/>
      <c r="N291" s="63"/>
      <c r="O291" s="63"/>
      <c r="P291" s="63"/>
      <c r="Q291" s="63">
        <f t="shared" si="18"/>
        <v>144.13999999999999</v>
      </c>
      <c r="R291" s="63">
        <f t="shared" si="19"/>
        <v>0</v>
      </c>
      <c r="S291" s="63">
        <f t="shared" si="20"/>
        <v>144.13999999999999</v>
      </c>
    </row>
    <row r="292" spans="1:19" s="77" customFormat="1" ht="12" x14ac:dyDescent="0.2">
      <c r="A292" s="68">
        <v>7475</v>
      </c>
      <c r="B292" s="68" t="s">
        <v>8403</v>
      </c>
      <c r="C292" s="88">
        <v>195</v>
      </c>
      <c r="D292" s="73" t="s">
        <v>8404</v>
      </c>
      <c r="E292" s="165" t="s">
        <v>73</v>
      </c>
      <c r="F292" s="74">
        <v>43322</v>
      </c>
      <c r="G292" s="95">
        <v>143</v>
      </c>
      <c r="H292" s="63"/>
      <c r="I292" s="63"/>
      <c r="J292" s="63"/>
      <c r="K292" s="133"/>
      <c r="L292" s="63"/>
      <c r="M292" s="63"/>
      <c r="N292" s="63"/>
      <c r="O292" s="63"/>
      <c r="P292" s="63"/>
      <c r="Q292" s="63">
        <f t="shared" si="18"/>
        <v>143</v>
      </c>
      <c r="R292" s="63">
        <f t="shared" si="19"/>
        <v>0</v>
      </c>
      <c r="S292" s="63">
        <f t="shared" si="20"/>
        <v>143</v>
      </c>
    </row>
    <row r="293" spans="1:19" s="77" customFormat="1" ht="12" x14ac:dyDescent="0.2">
      <c r="A293" s="68">
        <v>7475</v>
      </c>
      <c r="B293" s="68" t="s">
        <v>8403</v>
      </c>
      <c r="C293" s="88">
        <v>195</v>
      </c>
      <c r="D293" s="73" t="s">
        <v>8405</v>
      </c>
      <c r="E293" s="165" t="s">
        <v>73</v>
      </c>
      <c r="F293" s="74">
        <v>43322</v>
      </c>
      <c r="G293" s="95">
        <v>164</v>
      </c>
      <c r="H293" s="63"/>
      <c r="I293" s="63"/>
      <c r="J293" s="63"/>
      <c r="K293" s="133"/>
      <c r="L293" s="63"/>
      <c r="M293" s="63"/>
      <c r="N293" s="63"/>
      <c r="O293" s="63"/>
      <c r="P293" s="63"/>
      <c r="Q293" s="63">
        <f t="shared" si="18"/>
        <v>164</v>
      </c>
      <c r="R293" s="63">
        <f t="shared" si="19"/>
        <v>0</v>
      </c>
      <c r="S293" s="63">
        <f t="shared" si="20"/>
        <v>164</v>
      </c>
    </row>
    <row r="294" spans="1:19" s="77" customFormat="1" ht="12" x14ac:dyDescent="0.2">
      <c r="A294" s="68">
        <v>7475</v>
      </c>
      <c r="B294" s="68" t="s">
        <v>8403</v>
      </c>
      <c r="C294" s="88">
        <v>195</v>
      </c>
      <c r="D294" s="73" t="s">
        <v>8406</v>
      </c>
      <c r="E294" s="165" t="s">
        <v>73</v>
      </c>
      <c r="F294" s="74">
        <v>43322</v>
      </c>
      <c r="G294" s="95">
        <v>188</v>
      </c>
      <c r="H294" s="63"/>
      <c r="I294" s="63"/>
      <c r="J294" s="63"/>
      <c r="K294" s="133"/>
      <c r="L294" s="63"/>
      <c r="M294" s="63"/>
      <c r="N294" s="63"/>
      <c r="O294" s="63"/>
      <c r="P294" s="63"/>
      <c r="Q294" s="63">
        <f t="shared" si="18"/>
        <v>188</v>
      </c>
      <c r="R294" s="63">
        <f t="shared" si="19"/>
        <v>0</v>
      </c>
      <c r="S294" s="63">
        <f t="shared" si="20"/>
        <v>188</v>
      </c>
    </row>
    <row r="295" spans="1:19" s="77" customFormat="1" ht="12" x14ac:dyDescent="0.2">
      <c r="A295" s="68">
        <v>7475</v>
      </c>
      <c r="B295" s="68" t="s">
        <v>8403</v>
      </c>
      <c r="C295" s="88">
        <v>195</v>
      </c>
      <c r="D295" s="73" t="s">
        <v>8407</v>
      </c>
      <c r="E295" s="165" t="s">
        <v>73</v>
      </c>
      <c r="F295" s="74">
        <v>43322</v>
      </c>
      <c r="G295" s="95">
        <v>90</v>
      </c>
      <c r="H295" s="63"/>
      <c r="I295" s="63"/>
      <c r="J295" s="63"/>
      <c r="K295" s="133"/>
      <c r="L295" s="63"/>
      <c r="M295" s="63"/>
      <c r="N295" s="63"/>
      <c r="O295" s="63"/>
      <c r="P295" s="63"/>
      <c r="Q295" s="63">
        <f t="shared" si="18"/>
        <v>90</v>
      </c>
      <c r="R295" s="63">
        <f t="shared" si="19"/>
        <v>0</v>
      </c>
      <c r="S295" s="63">
        <f t="shared" si="20"/>
        <v>90</v>
      </c>
    </row>
    <row r="296" spans="1:19" s="77" customFormat="1" ht="12" x14ac:dyDescent="0.2">
      <c r="A296" s="68">
        <v>7475</v>
      </c>
      <c r="B296" s="68" t="s">
        <v>8403</v>
      </c>
      <c r="C296" s="88">
        <v>195</v>
      </c>
      <c r="D296" s="73" t="s">
        <v>8408</v>
      </c>
      <c r="E296" s="165" t="s">
        <v>73</v>
      </c>
      <c r="F296" s="74">
        <v>43322</v>
      </c>
      <c r="G296" s="95">
        <v>90</v>
      </c>
      <c r="H296" s="63"/>
      <c r="I296" s="63"/>
      <c r="J296" s="63"/>
      <c r="K296" s="133"/>
      <c r="L296" s="63"/>
      <c r="M296" s="63"/>
      <c r="N296" s="63"/>
      <c r="O296" s="63"/>
      <c r="P296" s="63"/>
      <c r="Q296" s="63">
        <f t="shared" si="18"/>
        <v>90</v>
      </c>
      <c r="R296" s="63">
        <f t="shared" si="19"/>
        <v>0</v>
      </c>
      <c r="S296" s="63">
        <f t="shared" si="20"/>
        <v>90</v>
      </c>
    </row>
    <row r="297" spans="1:19" s="77" customFormat="1" ht="12" x14ac:dyDescent="0.2">
      <c r="A297" s="68" t="s">
        <v>8409</v>
      </c>
      <c r="B297" s="68" t="s">
        <v>8410</v>
      </c>
      <c r="C297" s="88">
        <v>196</v>
      </c>
      <c r="D297" s="73" t="s">
        <v>8411</v>
      </c>
      <c r="E297" s="165" t="s">
        <v>19</v>
      </c>
      <c r="F297" s="74">
        <v>43322</v>
      </c>
      <c r="G297" s="95">
        <v>443.5</v>
      </c>
      <c r="H297" s="63"/>
      <c r="I297" s="63"/>
      <c r="J297" s="63"/>
      <c r="K297" s="133"/>
      <c r="L297" s="63"/>
      <c r="M297" s="63"/>
      <c r="N297" s="63"/>
      <c r="O297" s="63"/>
      <c r="P297" s="63"/>
      <c r="Q297" s="63">
        <f t="shared" si="18"/>
        <v>443.5</v>
      </c>
      <c r="R297" s="63">
        <f t="shared" si="19"/>
        <v>0</v>
      </c>
      <c r="S297" s="63">
        <f t="shared" si="20"/>
        <v>443.5</v>
      </c>
    </row>
    <row r="298" spans="1:19" s="77" customFormat="1" ht="12" x14ac:dyDescent="0.2">
      <c r="A298" s="68" t="s">
        <v>8422</v>
      </c>
      <c r="B298" s="68" t="s">
        <v>8423</v>
      </c>
      <c r="C298" s="88">
        <v>197</v>
      </c>
      <c r="D298" s="73" t="s">
        <v>8424</v>
      </c>
      <c r="E298" s="165" t="s">
        <v>19</v>
      </c>
      <c r="F298" s="74">
        <v>43323</v>
      </c>
      <c r="G298" s="95">
        <f>133.34+18.35</f>
        <v>151.69</v>
      </c>
      <c r="H298" s="63"/>
      <c r="I298" s="63"/>
      <c r="J298" s="63"/>
      <c r="K298" s="133"/>
      <c r="L298" s="63"/>
      <c r="M298" s="63"/>
      <c r="N298" s="63"/>
      <c r="O298" s="63"/>
      <c r="P298" s="63"/>
      <c r="Q298" s="63">
        <f t="shared" si="18"/>
        <v>151.69</v>
      </c>
      <c r="R298" s="63">
        <f t="shared" si="19"/>
        <v>0</v>
      </c>
      <c r="S298" s="63">
        <f t="shared" si="20"/>
        <v>151.69</v>
      </c>
    </row>
    <row r="299" spans="1:19" s="77" customFormat="1" ht="12" x14ac:dyDescent="0.2">
      <c r="A299" s="68" t="s">
        <v>8425</v>
      </c>
      <c r="B299" s="68" t="s">
        <v>8426</v>
      </c>
      <c r="C299" s="88">
        <v>198</v>
      </c>
      <c r="D299" s="73" t="s">
        <v>8427</v>
      </c>
      <c r="E299" s="165" t="s">
        <v>19</v>
      </c>
      <c r="F299" s="74">
        <v>43326</v>
      </c>
      <c r="G299" s="95">
        <v>96</v>
      </c>
      <c r="H299" s="63"/>
      <c r="I299" s="63"/>
      <c r="J299" s="63"/>
      <c r="K299" s="133"/>
      <c r="L299" s="63"/>
      <c r="M299" s="63"/>
      <c r="N299" s="63"/>
      <c r="O299" s="63"/>
      <c r="P299" s="63"/>
      <c r="Q299" s="63">
        <f t="shared" si="18"/>
        <v>96</v>
      </c>
      <c r="R299" s="63">
        <f t="shared" si="19"/>
        <v>0</v>
      </c>
      <c r="S299" s="63">
        <f t="shared" si="20"/>
        <v>96</v>
      </c>
    </row>
    <row r="300" spans="1:19" s="77" customFormat="1" ht="12" x14ac:dyDescent="0.2">
      <c r="A300" s="68" t="s">
        <v>8425</v>
      </c>
      <c r="B300" s="68" t="s">
        <v>8426</v>
      </c>
      <c r="C300" s="88">
        <v>198</v>
      </c>
      <c r="D300" s="73" t="s">
        <v>8428</v>
      </c>
      <c r="E300" s="165" t="s">
        <v>19</v>
      </c>
      <c r="F300" s="74">
        <v>43326</v>
      </c>
      <c r="G300" s="95">
        <v>40</v>
      </c>
      <c r="H300" s="63"/>
      <c r="I300" s="63"/>
      <c r="J300" s="63"/>
      <c r="K300" s="133"/>
      <c r="L300" s="63"/>
      <c r="M300" s="63"/>
      <c r="N300" s="63"/>
      <c r="O300" s="63"/>
      <c r="P300" s="63"/>
      <c r="Q300" s="63">
        <f t="shared" si="18"/>
        <v>40</v>
      </c>
      <c r="R300" s="63">
        <f t="shared" si="19"/>
        <v>0</v>
      </c>
      <c r="S300" s="63">
        <f t="shared" si="20"/>
        <v>40</v>
      </c>
    </row>
    <row r="301" spans="1:19" s="77" customFormat="1" ht="12" x14ac:dyDescent="0.2">
      <c r="A301" s="68">
        <v>15267</v>
      </c>
      <c r="B301" s="68" t="s">
        <v>8429</v>
      </c>
      <c r="C301" s="88">
        <v>199</v>
      </c>
      <c r="D301" s="73" t="s">
        <v>8430</v>
      </c>
      <c r="E301" s="165" t="s">
        <v>19</v>
      </c>
      <c r="F301" s="74">
        <v>43327</v>
      </c>
      <c r="G301" s="95"/>
      <c r="H301" s="63"/>
      <c r="I301" s="63"/>
      <c r="J301" s="63"/>
      <c r="K301" s="133"/>
      <c r="L301" s="63"/>
      <c r="M301" s="63"/>
      <c r="N301" s="63"/>
      <c r="O301" s="63"/>
      <c r="P301" s="63"/>
      <c r="Q301" s="63">
        <f t="shared" si="18"/>
        <v>0</v>
      </c>
      <c r="R301" s="63">
        <f t="shared" si="19"/>
        <v>0</v>
      </c>
      <c r="S301" s="63">
        <f t="shared" si="20"/>
        <v>0</v>
      </c>
    </row>
    <row r="302" spans="1:19" s="77" customFormat="1" ht="12" x14ac:dyDescent="0.2">
      <c r="A302" s="68">
        <v>13050</v>
      </c>
      <c r="B302" s="68" t="s">
        <v>5610</v>
      </c>
      <c r="C302" s="88">
        <v>200</v>
      </c>
      <c r="D302" s="73" t="s">
        <v>8431</v>
      </c>
      <c r="E302" s="165" t="s">
        <v>19</v>
      </c>
      <c r="F302" s="74">
        <v>43329</v>
      </c>
      <c r="G302" s="95">
        <v>109</v>
      </c>
      <c r="H302" s="63"/>
      <c r="I302" s="63"/>
      <c r="J302" s="63"/>
      <c r="K302" s="133"/>
      <c r="L302" s="63"/>
      <c r="M302" s="63"/>
      <c r="N302" s="63"/>
      <c r="O302" s="63"/>
      <c r="P302" s="63"/>
      <c r="Q302" s="63">
        <f t="shared" si="18"/>
        <v>109</v>
      </c>
      <c r="R302" s="63">
        <f t="shared" si="19"/>
        <v>0</v>
      </c>
      <c r="S302" s="63">
        <f t="shared" si="20"/>
        <v>109</v>
      </c>
    </row>
    <row r="303" spans="1:19" s="77" customFormat="1" ht="12" x14ac:dyDescent="0.2">
      <c r="A303" s="68">
        <v>13050</v>
      </c>
      <c r="B303" s="68" t="s">
        <v>5610</v>
      </c>
      <c r="C303" s="88">
        <v>200</v>
      </c>
      <c r="D303" s="73" t="s">
        <v>8432</v>
      </c>
      <c r="E303" s="165" t="s">
        <v>19</v>
      </c>
      <c r="F303" s="74">
        <v>43329</v>
      </c>
      <c r="G303" s="95">
        <v>40</v>
      </c>
      <c r="H303" s="63"/>
      <c r="I303" s="63"/>
      <c r="J303" s="63"/>
      <c r="K303" s="133"/>
      <c r="L303" s="63"/>
      <c r="M303" s="63"/>
      <c r="N303" s="63"/>
      <c r="O303" s="63"/>
      <c r="P303" s="63"/>
      <c r="Q303" s="63">
        <f t="shared" si="18"/>
        <v>40</v>
      </c>
      <c r="R303" s="63">
        <f t="shared" si="19"/>
        <v>0</v>
      </c>
      <c r="S303" s="63">
        <f t="shared" si="20"/>
        <v>40</v>
      </c>
    </row>
    <row r="304" spans="1:19" s="77" customFormat="1" ht="12" x14ac:dyDescent="0.2">
      <c r="A304" s="68">
        <v>13050</v>
      </c>
      <c r="B304" s="68" t="s">
        <v>5610</v>
      </c>
      <c r="C304" s="88">
        <v>200</v>
      </c>
      <c r="D304" s="73" t="s">
        <v>8433</v>
      </c>
      <c r="E304" s="165" t="s">
        <v>19</v>
      </c>
      <c r="F304" s="74">
        <v>43329</v>
      </c>
      <c r="G304" s="95">
        <v>75</v>
      </c>
      <c r="H304" s="63"/>
      <c r="I304" s="63"/>
      <c r="J304" s="63"/>
      <c r="K304" s="133"/>
      <c r="L304" s="63"/>
      <c r="M304" s="63"/>
      <c r="N304" s="63"/>
      <c r="O304" s="63"/>
      <c r="P304" s="63"/>
      <c r="Q304" s="63">
        <f t="shared" si="18"/>
        <v>75</v>
      </c>
      <c r="R304" s="63">
        <f t="shared" si="19"/>
        <v>0</v>
      </c>
      <c r="S304" s="63">
        <f t="shared" si="20"/>
        <v>75</v>
      </c>
    </row>
    <row r="305" spans="1:19" s="77" customFormat="1" ht="12" x14ac:dyDescent="0.2">
      <c r="A305" s="68" t="s">
        <v>8434</v>
      </c>
      <c r="B305" s="68" t="s">
        <v>8435</v>
      </c>
      <c r="C305" s="88">
        <v>201</v>
      </c>
      <c r="D305" s="73" t="s">
        <v>8436</v>
      </c>
      <c r="E305" s="165" t="s">
        <v>19</v>
      </c>
      <c r="F305" s="74">
        <v>43330</v>
      </c>
      <c r="G305" s="95">
        <v>203</v>
      </c>
      <c r="H305" s="63"/>
      <c r="I305" s="63"/>
      <c r="J305" s="63"/>
      <c r="K305" s="133"/>
      <c r="L305" s="63"/>
      <c r="M305" s="63"/>
      <c r="N305" s="63"/>
      <c r="O305" s="63"/>
      <c r="P305" s="63"/>
      <c r="Q305" s="63">
        <f t="shared" si="18"/>
        <v>203</v>
      </c>
      <c r="R305" s="63">
        <f t="shared" si="19"/>
        <v>0</v>
      </c>
      <c r="S305" s="63">
        <f t="shared" si="20"/>
        <v>203</v>
      </c>
    </row>
    <row r="306" spans="1:19" s="77" customFormat="1" ht="12" x14ac:dyDescent="0.2">
      <c r="A306" s="68" t="s">
        <v>8437</v>
      </c>
      <c r="B306" s="68" t="s">
        <v>8438</v>
      </c>
      <c r="C306" s="88">
        <v>202</v>
      </c>
      <c r="D306" s="73" t="s">
        <v>8439</v>
      </c>
      <c r="E306" s="165" t="s">
        <v>19</v>
      </c>
      <c r="F306" s="74">
        <v>43332</v>
      </c>
      <c r="G306" s="95">
        <f>35+312.1+46.99</f>
        <v>394.09000000000003</v>
      </c>
      <c r="H306" s="63"/>
      <c r="I306" s="63"/>
      <c r="J306" s="63"/>
      <c r="K306" s="133"/>
      <c r="L306" s="63"/>
      <c r="M306" s="63"/>
      <c r="N306" s="63"/>
      <c r="O306" s="63"/>
      <c r="P306" s="63"/>
      <c r="Q306" s="63">
        <f t="shared" si="18"/>
        <v>394.09000000000003</v>
      </c>
      <c r="R306" s="63">
        <f t="shared" si="19"/>
        <v>0</v>
      </c>
      <c r="S306" s="63">
        <f t="shared" si="20"/>
        <v>394.09000000000003</v>
      </c>
    </row>
    <row r="307" spans="1:19" s="77" customFormat="1" ht="12" x14ac:dyDescent="0.2">
      <c r="A307" s="68" t="s">
        <v>8440</v>
      </c>
      <c r="B307" s="68" t="s">
        <v>8441</v>
      </c>
      <c r="C307" s="88">
        <v>203</v>
      </c>
      <c r="D307" s="73" t="s">
        <v>8442</v>
      </c>
      <c r="E307" s="165" t="s">
        <v>19</v>
      </c>
      <c r="F307" s="74">
        <v>43334</v>
      </c>
      <c r="G307" s="95">
        <f>41.3+67.11+730.83+72.53+181.51+41.3</f>
        <v>1134.58</v>
      </c>
      <c r="H307" s="63"/>
      <c r="I307" s="63">
        <v>310</v>
      </c>
      <c r="J307" s="63"/>
      <c r="K307" s="133"/>
      <c r="L307" s="63"/>
      <c r="M307" s="63"/>
      <c r="N307" s="63"/>
      <c r="O307" s="63"/>
      <c r="P307" s="63"/>
      <c r="Q307" s="63">
        <f t="shared" si="18"/>
        <v>1444.58</v>
      </c>
      <c r="R307" s="63">
        <f t="shared" si="19"/>
        <v>0</v>
      </c>
      <c r="S307" s="63">
        <f t="shared" si="20"/>
        <v>1444.58</v>
      </c>
    </row>
    <row r="308" spans="1:19" s="77" customFormat="1" ht="12" x14ac:dyDescent="0.2">
      <c r="A308" s="68">
        <v>15100</v>
      </c>
      <c r="B308" s="68" t="s">
        <v>8443</v>
      </c>
      <c r="C308" s="88">
        <v>204</v>
      </c>
      <c r="D308" s="73" t="s">
        <v>8444</v>
      </c>
      <c r="E308" s="165" t="s">
        <v>19</v>
      </c>
      <c r="F308" s="74">
        <v>43338</v>
      </c>
      <c r="G308" s="95">
        <f>400+35.26+700+507.01+238+35</f>
        <v>1915.27</v>
      </c>
      <c r="H308" s="63"/>
      <c r="I308" s="63">
        <v>620</v>
      </c>
      <c r="J308" s="63"/>
      <c r="K308" s="133"/>
      <c r="L308" s="63"/>
      <c r="M308" s="63"/>
      <c r="N308" s="63"/>
      <c r="O308" s="63"/>
      <c r="P308" s="63"/>
      <c r="Q308" s="63">
        <f t="shared" si="18"/>
        <v>2535.27</v>
      </c>
      <c r="R308" s="63">
        <f t="shared" si="19"/>
        <v>0</v>
      </c>
      <c r="S308" s="63">
        <f t="shared" si="20"/>
        <v>2535.27</v>
      </c>
    </row>
    <row r="309" spans="1:19" s="77" customFormat="1" ht="12" x14ac:dyDescent="0.2">
      <c r="A309" s="68">
        <v>10839</v>
      </c>
      <c r="B309" s="68" t="s">
        <v>8445</v>
      </c>
      <c r="C309" s="88">
        <v>205</v>
      </c>
      <c r="D309" s="73" t="s">
        <v>8446</v>
      </c>
      <c r="E309" s="165" t="s">
        <v>19</v>
      </c>
      <c r="F309" s="74">
        <v>43339</v>
      </c>
      <c r="G309" s="95">
        <f>11586.09+41.3+71.2+172.52+71.65+63+47.26+63+166.29+63+2083.71+44.22+57.45+63+133.16+133.16</f>
        <v>14860.01</v>
      </c>
      <c r="H309" s="63"/>
      <c r="I309" s="63">
        <f>930+2790+430</f>
        <v>4150</v>
      </c>
      <c r="J309" s="63"/>
      <c r="K309" s="133"/>
      <c r="L309" s="63"/>
      <c r="M309" s="63"/>
      <c r="N309" s="63"/>
      <c r="O309" s="63"/>
      <c r="P309" s="63"/>
      <c r="Q309" s="63">
        <f t="shared" si="18"/>
        <v>19010.010000000002</v>
      </c>
      <c r="R309" s="63">
        <f t="shared" si="19"/>
        <v>0</v>
      </c>
      <c r="S309" s="63">
        <f t="shared" si="20"/>
        <v>19010.010000000002</v>
      </c>
    </row>
    <row r="310" spans="1:19" s="77" customFormat="1" ht="12" x14ac:dyDescent="0.2">
      <c r="A310" s="68" t="s">
        <v>8447</v>
      </c>
      <c r="B310" s="68" t="s">
        <v>8448</v>
      </c>
      <c r="C310" s="88">
        <v>206</v>
      </c>
      <c r="D310" s="73" t="s">
        <v>8449</v>
      </c>
      <c r="E310" s="165" t="s">
        <v>19</v>
      </c>
      <c r="F310" s="74">
        <v>43339</v>
      </c>
      <c r="G310" s="95">
        <v>113.62</v>
      </c>
      <c r="H310" s="63"/>
      <c r="I310" s="63"/>
      <c r="J310" s="63"/>
      <c r="K310" s="133"/>
      <c r="L310" s="63"/>
      <c r="M310" s="63"/>
      <c r="N310" s="63"/>
      <c r="O310" s="63"/>
      <c r="P310" s="63"/>
      <c r="Q310" s="63">
        <f t="shared" si="18"/>
        <v>113.62</v>
      </c>
      <c r="R310" s="63">
        <f t="shared" si="19"/>
        <v>0</v>
      </c>
      <c r="S310" s="63">
        <f t="shared" si="20"/>
        <v>113.62</v>
      </c>
    </row>
    <row r="311" spans="1:19" s="77" customFormat="1" ht="12" x14ac:dyDescent="0.2">
      <c r="A311" s="68" t="s">
        <v>8447</v>
      </c>
      <c r="B311" s="68" t="s">
        <v>8448</v>
      </c>
      <c r="C311" s="88">
        <v>206</v>
      </c>
      <c r="D311" s="73" t="s">
        <v>8450</v>
      </c>
      <c r="E311" s="165" t="s">
        <v>19</v>
      </c>
      <c r="F311" s="74">
        <v>43339</v>
      </c>
      <c r="G311" s="95">
        <v>72</v>
      </c>
      <c r="H311" s="63"/>
      <c r="I311" s="63"/>
      <c r="J311" s="63"/>
      <c r="K311" s="133"/>
      <c r="L311" s="63"/>
      <c r="M311" s="63"/>
      <c r="N311" s="63"/>
      <c r="O311" s="63"/>
      <c r="P311" s="63"/>
      <c r="Q311" s="63">
        <f t="shared" si="18"/>
        <v>72</v>
      </c>
      <c r="R311" s="63">
        <f t="shared" si="19"/>
        <v>0</v>
      </c>
      <c r="S311" s="63">
        <f t="shared" si="20"/>
        <v>72</v>
      </c>
    </row>
    <row r="312" spans="1:19" s="77" customFormat="1" ht="12" x14ac:dyDescent="0.2">
      <c r="A312" s="68" t="s">
        <v>8447</v>
      </c>
      <c r="B312" s="68" t="s">
        <v>8448</v>
      </c>
      <c r="C312" s="88">
        <v>206</v>
      </c>
      <c r="D312" s="73" t="s">
        <v>8451</v>
      </c>
      <c r="E312" s="165" t="s">
        <v>19</v>
      </c>
      <c r="F312" s="74">
        <v>43339</v>
      </c>
      <c r="G312" s="95">
        <v>122</v>
      </c>
      <c r="H312" s="63"/>
      <c r="I312" s="63"/>
      <c r="J312" s="63"/>
      <c r="K312" s="133"/>
      <c r="L312" s="63"/>
      <c r="M312" s="63"/>
      <c r="N312" s="63"/>
      <c r="O312" s="63"/>
      <c r="P312" s="63"/>
      <c r="Q312" s="63">
        <f t="shared" si="18"/>
        <v>122</v>
      </c>
      <c r="R312" s="63">
        <f t="shared" si="19"/>
        <v>0</v>
      </c>
      <c r="S312" s="63">
        <f t="shared" si="20"/>
        <v>122</v>
      </c>
    </row>
    <row r="313" spans="1:19" s="77" customFormat="1" ht="12" x14ac:dyDescent="0.2">
      <c r="A313" s="68" t="s">
        <v>8452</v>
      </c>
      <c r="B313" s="68" t="s">
        <v>8453</v>
      </c>
      <c r="C313" s="88">
        <v>207</v>
      </c>
      <c r="D313" s="73" t="s">
        <v>8454</v>
      </c>
      <c r="E313" s="165" t="s">
        <v>19</v>
      </c>
      <c r="F313" s="74">
        <v>43339</v>
      </c>
      <c r="G313" s="95">
        <f>300+135.3+691.68</f>
        <v>1126.98</v>
      </c>
      <c r="H313" s="63"/>
      <c r="I313" s="63"/>
      <c r="J313" s="63"/>
      <c r="K313" s="133"/>
      <c r="L313" s="63"/>
      <c r="M313" s="63"/>
      <c r="N313" s="63"/>
      <c r="O313" s="63"/>
      <c r="P313" s="63"/>
      <c r="Q313" s="63">
        <f t="shared" si="18"/>
        <v>1126.98</v>
      </c>
      <c r="R313" s="63">
        <f t="shared" si="19"/>
        <v>0</v>
      </c>
      <c r="S313" s="63">
        <f t="shared" si="20"/>
        <v>1126.98</v>
      </c>
    </row>
    <row r="314" spans="1:19" s="77" customFormat="1" ht="12" x14ac:dyDescent="0.2">
      <c r="A314" s="68" t="s">
        <v>8455</v>
      </c>
      <c r="B314" s="68" t="s">
        <v>8456</v>
      </c>
      <c r="C314" s="88">
        <v>208</v>
      </c>
      <c r="D314" s="73" t="s">
        <v>8457</v>
      </c>
      <c r="E314" s="165" t="s">
        <v>19</v>
      </c>
      <c r="F314" s="74">
        <v>43340</v>
      </c>
      <c r="G314" s="95">
        <f>246+87</f>
        <v>333</v>
      </c>
      <c r="H314" s="63"/>
      <c r="I314" s="63">
        <v>2387</v>
      </c>
      <c r="J314" s="63"/>
      <c r="K314" s="133"/>
      <c r="L314" s="63"/>
      <c r="M314" s="63"/>
      <c r="N314" s="63"/>
      <c r="O314" s="63"/>
      <c r="P314" s="63"/>
      <c r="Q314" s="63">
        <f t="shared" si="18"/>
        <v>2720</v>
      </c>
      <c r="R314" s="63">
        <f t="shared" si="19"/>
        <v>0</v>
      </c>
      <c r="S314" s="63">
        <f t="shared" si="20"/>
        <v>2720</v>
      </c>
    </row>
    <row r="315" spans="1:19" s="77" customFormat="1" ht="12" x14ac:dyDescent="0.2">
      <c r="A315" s="68" t="s">
        <v>8458</v>
      </c>
      <c r="B315" s="68" t="s">
        <v>8459</v>
      </c>
      <c r="C315" s="88">
        <v>209</v>
      </c>
      <c r="D315" s="73" t="s">
        <v>8460</v>
      </c>
      <c r="E315" s="165" t="s">
        <v>19</v>
      </c>
      <c r="F315" s="74">
        <v>43340</v>
      </c>
      <c r="G315" s="95">
        <v>501.19</v>
      </c>
      <c r="H315" s="63"/>
      <c r="I315" s="63"/>
      <c r="J315" s="63"/>
      <c r="K315" s="133"/>
      <c r="L315" s="63"/>
      <c r="M315" s="63"/>
      <c r="N315" s="63"/>
      <c r="O315" s="63"/>
      <c r="P315" s="63"/>
      <c r="Q315" s="63">
        <f t="shared" si="18"/>
        <v>501.19</v>
      </c>
      <c r="R315" s="63">
        <f t="shared" si="19"/>
        <v>0</v>
      </c>
      <c r="S315" s="63">
        <f t="shared" si="20"/>
        <v>501.19</v>
      </c>
    </row>
    <row r="316" spans="1:19" s="77" customFormat="1" ht="12" x14ac:dyDescent="0.2">
      <c r="A316" s="68" t="s">
        <v>8458</v>
      </c>
      <c r="B316" s="68" t="s">
        <v>8459</v>
      </c>
      <c r="C316" s="88">
        <v>209</v>
      </c>
      <c r="D316" s="73" t="s">
        <v>8461</v>
      </c>
      <c r="E316" s="165" t="s">
        <v>19</v>
      </c>
      <c r="F316" s="74">
        <v>43340</v>
      </c>
      <c r="G316" s="95">
        <v>332.45</v>
      </c>
      <c r="H316" s="63"/>
      <c r="I316" s="63"/>
      <c r="J316" s="63"/>
      <c r="K316" s="133"/>
      <c r="L316" s="63"/>
      <c r="M316" s="63"/>
      <c r="N316" s="63"/>
      <c r="O316" s="63"/>
      <c r="P316" s="63"/>
      <c r="Q316" s="63">
        <f t="shared" si="18"/>
        <v>332.45</v>
      </c>
      <c r="R316" s="63">
        <f t="shared" si="19"/>
        <v>0</v>
      </c>
      <c r="S316" s="63">
        <f t="shared" si="20"/>
        <v>332.45</v>
      </c>
    </row>
    <row r="317" spans="1:19" s="77" customFormat="1" ht="12" x14ac:dyDescent="0.2">
      <c r="A317" s="68" t="s">
        <v>8462</v>
      </c>
      <c r="B317" s="68" t="s">
        <v>8463</v>
      </c>
      <c r="C317" s="88">
        <v>210</v>
      </c>
      <c r="D317" s="73" t="s">
        <v>8464</v>
      </c>
      <c r="E317" s="165" t="s">
        <v>19</v>
      </c>
      <c r="F317" s="74">
        <v>43340</v>
      </c>
      <c r="G317" s="95">
        <f>363.44+58.53</f>
        <v>421.97</v>
      </c>
      <c r="H317" s="63"/>
      <c r="I317" s="63"/>
      <c r="J317" s="63"/>
      <c r="K317" s="133"/>
      <c r="L317" s="63"/>
      <c r="M317" s="63"/>
      <c r="N317" s="63"/>
      <c r="O317" s="63"/>
      <c r="P317" s="63"/>
      <c r="Q317" s="63">
        <f t="shared" si="18"/>
        <v>421.97</v>
      </c>
      <c r="R317" s="63">
        <f t="shared" si="19"/>
        <v>0</v>
      </c>
      <c r="S317" s="63">
        <f t="shared" si="20"/>
        <v>421.97</v>
      </c>
    </row>
    <row r="318" spans="1:19" s="77" customFormat="1" ht="12" x14ac:dyDescent="0.2">
      <c r="A318" s="68" t="s">
        <v>8465</v>
      </c>
      <c r="B318" s="68" t="s">
        <v>8466</v>
      </c>
      <c r="C318" s="88">
        <v>211</v>
      </c>
      <c r="D318" s="73" t="s">
        <v>8467</v>
      </c>
      <c r="E318" s="165" t="s">
        <v>19</v>
      </c>
      <c r="F318" s="74">
        <v>43344</v>
      </c>
      <c r="G318" s="95">
        <f>4.25+138.06</f>
        <v>142.31</v>
      </c>
      <c r="H318" s="63"/>
      <c r="I318" s="63"/>
      <c r="J318" s="63"/>
      <c r="K318" s="133"/>
      <c r="L318" s="63"/>
      <c r="M318" s="63"/>
      <c r="N318" s="63"/>
      <c r="O318" s="63"/>
      <c r="P318" s="63"/>
      <c r="Q318" s="63">
        <f t="shared" si="18"/>
        <v>142.31</v>
      </c>
      <c r="R318" s="63">
        <f t="shared" si="19"/>
        <v>0</v>
      </c>
      <c r="S318" s="63">
        <f t="shared" si="20"/>
        <v>142.31</v>
      </c>
    </row>
    <row r="319" spans="1:19" s="77" customFormat="1" ht="12" x14ac:dyDescent="0.2">
      <c r="A319" s="68">
        <v>15742</v>
      </c>
      <c r="B319" s="68" t="s">
        <v>8468</v>
      </c>
      <c r="C319" s="88">
        <v>212</v>
      </c>
      <c r="D319" s="73" t="s">
        <v>8909</v>
      </c>
      <c r="E319" s="165" t="s">
        <v>19</v>
      </c>
      <c r="F319" s="74">
        <v>43346</v>
      </c>
      <c r="G319" s="95">
        <f>379.96+174.6</f>
        <v>554.55999999999995</v>
      </c>
      <c r="H319" s="63"/>
      <c r="I319" s="63">
        <f>1333+930+930+957</f>
        <v>4150</v>
      </c>
      <c r="J319" s="63"/>
      <c r="K319" s="133"/>
      <c r="L319" s="63"/>
      <c r="M319" s="63"/>
      <c r="N319" s="63"/>
      <c r="O319" s="63"/>
      <c r="P319" s="63"/>
      <c r="Q319" s="63">
        <f t="shared" si="18"/>
        <v>4704.5599999999995</v>
      </c>
      <c r="R319" s="63">
        <f t="shared" si="19"/>
        <v>0</v>
      </c>
      <c r="S319" s="63">
        <f t="shared" si="20"/>
        <v>4704.5599999999995</v>
      </c>
    </row>
    <row r="320" spans="1:19" s="77" customFormat="1" ht="12" x14ac:dyDescent="0.2">
      <c r="A320" s="68" t="s">
        <v>8469</v>
      </c>
      <c r="B320" s="68" t="s">
        <v>8470</v>
      </c>
      <c r="C320" s="88">
        <v>213</v>
      </c>
      <c r="D320" s="73" t="s">
        <v>8471</v>
      </c>
      <c r="E320" s="165" t="s">
        <v>19</v>
      </c>
      <c r="F320" s="74">
        <v>43346</v>
      </c>
      <c r="G320" s="95">
        <v>82.6</v>
      </c>
      <c r="H320" s="63"/>
      <c r="I320" s="63"/>
      <c r="J320" s="63"/>
      <c r="K320" s="133"/>
      <c r="L320" s="63"/>
      <c r="M320" s="63"/>
      <c r="N320" s="63"/>
      <c r="O320" s="63"/>
      <c r="P320" s="63"/>
      <c r="Q320" s="63">
        <f t="shared" si="18"/>
        <v>82.6</v>
      </c>
      <c r="R320" s="63">
        <f t="shared" si="19"/>
        <v>0</v>
      </c>
      <c r="S320" s="63">
        <f t="shared" si="20"/>
        <v>82.6</v>
      </c>
    </row>
    <row r="321" spans="1:19" s="77" customFormat="1" ht="12" x14ac:dyDescent="0.2">
      <c r="A321" s="68" t="s">
        <v>8472</v>
      </c>
      <c r="B321" s="68" t="s">
        <v>8473</v>
      </c>
      <c r="C321" s="88">
        <v>214</v>
      </c>
      <c r="D321" s="73" t="s">
        <v>8474</v>
      </c>
      <c r="E321" s="165" t="s">
        <v>19</v>
      </c>
      <c r="F321" s="74">
        <v>43347</v>
      </c>
      <c r="G321" s="95"/>
      <c r="H321" s="63"/>
      <c r="I321" s="63"/>
      <c r="J321" s="63"/>
      <c r="K321" s="133"/>
      <c r="L321" s="63"/>
      <c r="M321" s="63"/>
      <c r="N321" s="63"/>
      <c r="O321" s="63"/>
      <c r="P321" s="63"/>
      <c r="Q321" s="63">
        <f t="shared" si="18"/>
        <v>0</v>
      </c>
      <c r="R321" s="63">
        <f t="shared" si="19"/>
        <v>0</v>
      </c>
      <c r="S321" s="63">
        <f t="shared" si="20"/>
        <v>0</v>
      </c>
    </row>
    <row r="322" spans="1:19" s="77" customFormat="1" ht="12" x14ac:dyDescent="0.2">
      <c r="A322" s="68" t="s">
        <v>8475</v>
      </c>
      <c r="B322" s="68" t="s">
        <v>8476</v>
      </c>
      <c r="C322" s="88">
        <v>215</v>
      </c>
      <c r="D322" s="73" t="s">
        <v>6430</v>
      </c>
      <c r="E322" s="165" t="s">
        <v>19</v>
      </c>
      <c r="F322" s="74">
        <v>43348</v>
      </c>
      <c r="G322" s="95">
        <f>41.3+41.3+42.72+243.08</f>
        <v>368.4</v>
      </c>
      <c r="H322" s="63"/>
      <c r="I322" s="63">
        <v>310</v>
      </c>
      <c r="J322" s="63"/>
      <c r="K322" s="133"/>
      <c r="L322" s="63"/>
      <c r="M322" s="63"/>
      <c r="N322" s="63"/>
      <c r="O322" s="63"/>
      <c r="P322" s="63"/>
      <c r="Q322" s="63">
        <f t="shared" si="18"/>
        <v>678.4</v>
      </c>
      <c r="R322" s="63">
        <f t="shared" si="19"/>
        <v>0</v>
      </c>
      <c r="S322" s="63">
        <f t="shared" si="20"/>
        <v>678.4</v>
      </c>
    </row>
    <row r="323" spans="1:19" s="77" customFormat="1" ht="12" x14ac:dyDescent="0.2">
      <c r="A323" s="68" t="s">
        <v>8477</v>
      </c>
      <c r="B323" s="68" t="s">
        <v>8478</v>
      </c>
      <c r="C323" s="88">
        <v>216</v>
      </c>
      <c r="D323" s="73" t="s">
        <v>8479</v>
      </c>
      <c r="E323" s="165" t="s">
        <v>19</v>
      </c>
      <c r="F323" s="74">
        <v>43349</v>
      </c>
      <c r="G323" s="95">
        <f>227.28+1100+558+240+29.02+88.22</f>
        <v>2242.5199999999995</v>
      </c>
      <c r="H323" s="63"/>
      <c r="I323" s="63"/>
      <c r="J323" s="63"/>
      <c r="K323" s="133"/>
      <c r="L323" s="63"/>
      <c r="M323" s="63"/>
      <c r="N323" s="63"/>
      <c r="O323" s="63"/>
      <c r="P323" s="63"/>
      <c r="Q323" s="63">
        <f t="shared" si="18"/>
        <v>2242.5199999999995</v>
      </c>
      <c r="R323" s="63">
        <f t="shared" si="19"/>
        <v>0</v>
      </c>
      <c r="S323" s="63">
        <f t="shared" si="20"/>
        <v>2242.5199999999995</v>
      </c>
    </row>
    <row r="324" spans="1:19" s="77" customFormat="1" ht="12" x14ac:dyDescent="0.2">
      <c r="A324" s="68" t="s">
        <v>8480</v>
      </c>
      <c r="B324" s="68" t="s">
        <v>8481</v>
      </c>
      <c r="C324" s="88">
        <v>217</v>
      </c>
      <c r="D324" s="73" t="s">
        <v>8482</v>
      </c>
      <c r="E324" s="165" t="s">
        <v>19</v>
      </c>
      <c r="F324" s="74">
        <v>43350</v>
      </c>
      <c r="G324" s="95">
        <f>11.15+126.26</f>
        <v>137.41</v>
      </c>
      <c r="H324" s="63"/>
      <c r="I324" s="63"/>
      <c r="J324" s="63"/>
      <c r="K324" s="133"/>
      <c r="L324" s="63"/>
      <c r="M324" s="63"/>
      <c r="N324" s="63"/>
      <c r="O324" s="63"/>
      <c r="P324" s="63"/>
      <c r="Q324" s="63">
        <f t="shared" si="18"/>
        <v>137.41</v>
      </c>
      <c r="R324" s="63">
        <f t="shared" si="19"/>
        <v>0</v>
      </c>
      <c r="S324" s="63">
        <f t="shared" si="20"/>
        <v>137.41</v>
      </c>
    </row>
    <row r="325" spans="1:19" s="77" customFormat="1" ht="12" x14ac:dyDescent="0.2">
      <c r="A325" s="68">
        <v>16465</v>
      </c>
      <c r="B325" s="68" t="s">
        <v>7033</v>
      </c>
      <c r="C325" s="88">
        <v>218</v>
      </c>
      <c r="D325" s="73" t="s">
        <v>8483</v>
      </c>
      <c r="E325" s="165" t="s">
        <v>19</v>
      </c>
      <c r="F325" s="74">
        <v>43350</v>
      </c>
      <c r="G325" s="95">
        <v>122.92</v>
      </c>
      <c r="H325" s="63"/>
      <c r="I325" s="63"/>
      <c r="J325" s="63"/>
      <c r="K325" s="133"/>
      <c r="L325" s="63"/>
      <c r="M325" s="63"/>
      <c r="N325" s="63"/>
      <c r="O325" s="63"/>
      <c r="P325" s="63"/>
      <c r="Q325" s="63">
        <f t="shared" si="18"/>
        <v>122.92</v>
      </c>
      <c r="R325" s="63">
        <f t="shared" si="19"/>
        <v>0</v>
      </c>
      <c r="S325" s="63">
        <f t="shared" si="20"/>
        <v>122.92</v>
      </c>
    </row>
    <row r="326" spans="1:19" s="77" customFormat="1" ht="12" x14ac:dyDescent="0.2">
      <c r="A326" s="68" t="s">
        <v>8484</v>
      </c>
      <c r="B326" s="68" t="s">
        <v>8485</v>
      </c>
      <c r="C326" s="88">
        <v>219</v>
      </c>
      <c r="D326" s="73" t="s">
        <v>8486</v>
      </c>
      <c r="E326" s="165" t="s">
        <v>19</v>
      </c>
      <c r="F326" s="74">
        <v>43352</v>
      </c>
      <c r="G326" s="95">
        <v>105.72</v>
      </c>
      <c r="H326" s="63"/>
      <c r="I326" s="63"/>
      <c r="J326" s="63"/>
      <c r="K326" s="133"/>
      <c r="L326" s="63"/>
      <c r="M326" s="63"/>
      <c r="N326" s="63"/>
      <c r="O326" s="63"/>
      <c r="P326" s="63"/>
      <c r="Q326" s="63">
        <f t="shared" si="18"/>
        <v>105.72</v>
      </c>
      <c r="R326" s="63">
        <f t="shared" si="19"/>
        <v>0</v>
      </c>
      <c r="S326" s="63">
        <f t="shared" si="20"/>
        <v>105.72</v>
      </c>
    </row>
    <row r="327" spans="1:19" s="77" customFormat="1" ht="12" x14ac:dyDescent="0.2">
      <c r="A327" s="68" t="s">
        <v>8487</v>
      </c>
      <c r="B327" s="68" t="s">
        <v>8488</v>
      </c>
      <c r="C327" s="88">
        <v>220</v>
      </c>
      <c r="D327" s="73" t="s">
        <v>8489</v>
      </c>
      <c r="E327" s="165" t="s">
        <v>8561</v>
      </c>
      <c r="F327" s="74">
        <v>43353</v>
      </c>
      <c r="G327" s="95">
        <v>131.38</v>
      </c>
      <c r="H327" s="63"/>
      <c r="I327" s="63"/>
      <c r="J327" s="63"/>
      <c r="K327" s="133"/>
      <c r="L327" s="63"/>
      <c r="M327" s="63"/>
      <c r="N327" s="63"/>
      <c r="O327" s="63"/>
      <c r="P327" s="63"/>
      <c r="Q327" s="63">
        <f t="shared" si="18"/>
        <v>131.38</v>
      </c>
      <c r="R327" s="63">
        <f t="shared" si="19"/>
        <v>0</v>
      </c>
      <c r="S327" s="63">
        <f t="shared" si="20"/>
        <v>131.38</v>
      </c>
    </row>
    <row r="328" spans="1:19" s="77" customFormat="1" ht="12" x14ac:dyDescent="0.2">
      <c r="A328" s="68" t="s">
        <v>8487</v>
      </c>
      <c r="B328" s="68" t="s">
        <v>8488</v>
      </c>
      <c r="C328" s="88">
        <v>220</v>
      </c>
      <c r="D328" s="73" t="s">
        <v>8490</v>
      </c>
      <c r="E328" s="165" t="s">
        <v>8561</v>
      </c>
      <c r="F328" s="74">
        <v>43353</v>
      </c>
      <c r="G328" s="95">
        <v>188.2</v>
      </c>
      <c r="H328" s="63"/>
      <c r="I328" s="63"/>
      <c r="J328" s="63"/>
      <c r="K328" s="133"/>
      <c r="L328" s="63"/>
      <c r="M328" s="63"/>
      <c r="N328" s="63"/>
      <c r="O328" s="63"/>
      <c r="P328" s="63"/>
      <c r="Q328" s="63">
        <f t="shared" si="18"/>
        <v>188.2</v>
      </c>
      <c r="R328" s="63">
        <f t="shared" si="19"/>
        <v>0</v>
      </c>
      <c r="S328" s="63">
        <f t="shared" si="20"/>
        <v>188.2</v>
      </c>
    </row>
    <row r="329" spans="1:19" s="77" customFormat="1" ht="12" x14ac:dyDescent="0.2">
      <c r="A329" s="68" t="s">
        <v>8487</v>
      </c>
      <c r="B329" s="68" t="s">
        <v>8488</v>
      </c>
      <c r="C329" s="88">
        <v>220</v>
      </c>
      <c r="D329" s="73" t="s">
        <v>8491</v>
      </c>
      <c r="E329" s="165" t="s">
        <v>8561</v>
      </c>
      <c r="F329" s="74">
        <v>43353</v>
      </c>
      <c r="G329" s="95">
        <v>70.17</v>
      </c>
      <c r="H329" s="63"/>
      <c r="I329" s="63"/>
      <c r="J329" s="63"/>
      <c r="K329" s="133"/>
      <c r="L329" s="63"/>
      <c r="M329" s="63"/>
      <c r="N329" s="63"/>
      <c r="O329" s="63"/>
      <c r="P329" s="63"/>
      <c r="Q329" s="63">
        <f t="shared" si="18"/>
        <v>70.17</v>
      </c>
      <c r="R329" s="63">
        <f t="shared" si="19"/>
        <v>0</v>
      </c>
      <c r="S329" s="63">
        <f t="shared" si="20"/>
        <v>70.17</v>
      </c>
    </row>
    <row r="330" spans="1:19" s="77" customFormat="1" ht="12" x14ac:dyDescent="0.2">
      <c r="A330" s="68" t="s">
        <v>8492</v>
      </c>
      <c r="B330" s="68" t="s">
        <v>8493</v>
      </c>
      <c r="C330" s="88">
        <v>221</v>
      </c>
      <c r="D330" s="73" t="s">
        <v>8494</v>
      </c>
      <c r="E330" s="165" t="s">
        <v>19</v>
      </c>
      <c r="F330" s="74">
        <v>43357</v>
      </c>
      <c r="G330" s="95">
        <v>228.58</v>
      </c>
      <c r="H330" s="63"/>
      <c r="I330" s="63"/>
      <c r="J330" s="63"/>
      <c r="K330" s="133"/>
      <c r="L330" s="63"/>
      <c r="M330" s="63"/>
      <c r="N330" s="63"/>
      <c r="O330" s="63"/>
      <c r="P330" s="63"/>
      <c r="Q330" s="63">
        <f t="shared" si="18"/>
        <v>228.58</v>
      </c>
      <c r="R330" s="63">
        <f t="shared" si="19"/>
        <v>0</v>
      </c>
      <c r="S330" s="63">
        <f t="shared" si="20"/>
        <v>228.58</v>
      </c>
    </row>
    <row r="331" spans="1:19" s="77" customFormat="1" ht="12" x14ac:dyDescent="0.2">
      <c r="A331" s="68" t="s">
        <v>8495</v>
      </c>
      <c r="B331" s="68" t="s">
        <v>8496</v>
      </c>
      <c r="C331" s="88">
        <v>222</v>
      </c>
      <c r="D331" s="73" t="s">
        <v>8497</v>
      </c>
      <c r="E331" s="165" t="s">
        <v>19</v>
      </c>
      <c r="F331" s="74">
        <v>43357</v>
      </c>
      <c r="G331" s="95">
        <f>37+129.72+260+170+245</f>
        <v>841.72</v>
      </c>
      <c r="H331" s="63"/>
      <c r="I331" s="63">
        <f>465+930+930</f>
        <v>2325</v>
      </c>
      <c r="J331" s="63"/>
      <c r="K331" s="133"/>
      <c r="L331" s="63"/>
      <c r="M331" s="63"/>
      <c r="N331" s="63"/>
      <c r="O331" s="63"/>
      <c r="P331" s="63"/>
      <c r="Q331" s="63">
        <f t="shared" si="18"/>
        <v>3166.7200000000003</v>
      </c>
      <c r="R331" s="63">
        <f t="shared" si="19"/>
        <v>0</v>
      </c>
      <c r="S331" s="63">
        <f t="shared" si="20"/>
        <v>3166.7200000000003</v>
      </c>
    </row>
    <row r="332" spans="1:19" s="77" customFormat="1" ht="12" x14ac:dyDescent="0.2">
      <c r="A332" s="68" t="s">
        <v>8498</v>
      </c>
      <c r="B332" s="68" t="s">
        <v>8499</v>
      </c>
      <c r="C332" s="88">
        <v>223</v>
      </c>
      <c r="D332" s="73" t="s">
        <v>3949</v>
      </c>
      <c r="E332" s="165" t="s">
        <v>19</v>
      </c>
      <c r="F332" s="74">
        <v>43360</v>
      </c>
      <c r="G332" s="95">
        <f>632.06+41.3+29.8+182.9</f>
        <v>886.05999999999983</v>
      </c>
      <c r="H332" s="63"/>
      <c r="I332" s="63"/>
      <c r="J332" s="63"/>
      <c r="K332" s="133"/>
      <c r="L332" s="63"/>
      <c r="M332" s="63"/>
      <c r="N332" s="63"/>
      <c r="O332" s="63"/>
      <c r="P332" s="63"/>
      <c r="Q332" s="63">
        <f t="shared" si="18"/>
        <v>886.05999999999983</v>
      </c>
      <c r="R332" s="63">
        <f t="shared" si="19"/>
        <v>0</v>
      </c>
      <c r="S332" s="63">
        <f t="shared" si="20"/>
        <v>886.05999999999983</v>
      </c>
    </row>
    <row r="333" spans="1:19" s="77" customFormat="1" ht="12" x14ac:dyDescent="0.2">
      <c r="A333" s="68">
        <v>10746</v>
      </c>
      <c r="B333" s="68" t="s">
        <v>8500</v>
      </c>
      <c r="C333" s="88">
        <v>224</v>
      </c>
      <c r="D333" s="73" t="s">
        <v>8501</v>
      </c>
      <c r="E333" s="165" t="s">
        <v>19</v>
      </c>
      <c r="F333" s="74">
        <v>43360</v>
      </c>
      <c r="G333" s="95">
        <f>1.36+92.04</f>
        <v>93.4</v>
      </c>
      <c r="H333" s="63"/>
      <c r="I333" s="63"/>
      <c r="J333" s="63"/>
      <c r="K333" s="133"/>
      <c r="L333" s="63"/>
      <c r="M333" s="63"/>
      <c r="N333" s="63"/>
      <c r="O333" s="63"/>
      <c r="P333" s="63"/>
      <c r="Q333" s="63">
        <f t="shared" si="18"/>
        <v>93.4</v>
      </c>
      <c r="R333" s="63">
        <f t="shared" si="19"/>
        <v>0</v>
      </c>
      <c r="S333" s="63">
        <f t="shared" si="20"/>
        <v>93.4</v>
      </c>
    </row>
    <row r="334" spans="1:19" s="77" customFormat="1" ht="12" x14ac:dyDescent="0.2">
      <c r="A334" s="68">
        <v>16353</v>
      </c>
      <c r="B334" s="68" t="s">
        <v>8502</v>
      </c>
      <c r="C334" s="88">
        <v>225</v>
      </c>
      <c r="D334" s="73" t="s">
        <v>8503</v>
      </c>
      <c r="E334" s="165" t="s">
        <v>19</v>
      </c>
      <c r="F334" s="74">
        <v>43360</v>
      </c>
      <c r="G334" s="95">
        <f>49.56+186.44</f>
        <v>236</v>
      </c>
      <c r="H334" s="63"/>
      <c r="I334" s="63"/>
      <c r="J334" s="63"/>
      <c r="K334" s="133"/>
      <c r="L334" s="63"/>
      <c r="M334" s="63"/>
      <c r="N334" s="63"/>
      <c r="O334" s="63"/>
      <c r="P334" s="63"/>
      <c r="Q334" s="63">
        <f t="shared" si="18"/>
        <v>236</v>
      </c>
      <c r="R334" s="63">
        <f t="shared" si="19"/>
        <v>0</v>
      </c>
      <c r="S334" s="63">
        <f t="shared" si="20"/>
        <v>236</v>
      </c>
    </row>
    <row r="335" spans="1:19" s="77" customFormat="1" ht="12" x14ac:dyDescent="0.2">
      <c r="A335" s="68" t="s">
        <v>8504</v>
      </c>
      <c r="B335" s="68" t="s">
        <v>8505</v>
      </c>
      <c r="C335" s="88">
        <v>226</v>
      </c>
      <c r="D335" s="73" t="s">
        <v>8506</v>
      </c>
      <c r="E335" s="165" t="s">
        <v>19</v>
      </c>
      <c r="F335" s="74">
        <v>43360</v>
      </c>
      <c r="G335" s="95">
        <v>24.1</v>
      </c>
      <c r="H335" s="63"/>
      <c r="I335" s="63"/>
      <c r="J335" s="63"/>
      <c r="K335" s="133"/>
      <c r="L335" s="63"/>
      <c r="M335" s="63"/>
      <c r="N335" s="63"/>
      <c r="O335" s="63"/>
      <c r="P335" s="63"/>
      <c r="Q335" s="63">
        <f t="shared" si="18"/>
        <v>24.1</v>
      </c>
      <c r="R335" s="63">
        <f t="shared" si="19"/>
        <v>0</v>
      </c>
      <c r="S335" s="63">
        <f t="shared" si="20"/>
        <v>24.1</v>
      </c>
    </row>
    <row r="336" spans="1:19" s="77" customFormat="1" ht="12" x14ac:dyDescent="0.2">
      <c r="A336" s="68">
        <v>11521</v>
      </c>
      <c r="B336" s="68" t="s">
        <v>8507</v>
      </c>
      <c r="C336" s="88">
        <v>227</v>
      </c>
      <c r="D336" s="73" t="s">
        <v>8508</v>
      </c>
      <c r="E336" s="165" t="s">
        <v>19</v>
      </c>
      <c r="F336" s="74">
        <v>43360</v>
      </c>
      <c r="G336" s="95">
        <f>41.3+113.43+183.82+100.87+147.71+168.7+457.9+457.9+41.3+41.3+236+332.93+136.84+457.93+41.3+353.78</f>
        <v>3313.01</v>
      </c>
      <c r="H336" s="63"/>
      <c r="I336" s="63">
        <v>4150</v>
      </c>
      <c r="J336" s="63"/>
      <c r="K336" s="133"/>
      <c r="L336" s="63"/>
      <c r="M336" s="63"/>
      <c r="N336" s="63"/>
      <c r="O336" s="63"/>
      <c r="P336" s="63"/>
      <c r="Q336" s="63">
        <f t="shared" si="18"/>
        <v>7463.01</v>
      </c>
      <c r="R336" s="63">
        <f t="shared" si="19"/>
        <v>0</v>
      </c>
      <c r="S336" s="63">
        <f t="shared" si="20"/>
        <v>7463.01</v>
      </c>
    </row>
    <row r="337" spans="1:19" s="77" customFormat="1" ht="12" x14ac:dyDescent="0.2">
      <c r="A337" s="68" t="s">
        <v>8509</v>
      </c>
      <c r="B337" s="68" t="s">
        <v>8510</v>
      </c>
      <c r="C337" s="88">
        <v>228</v>
      </c>
      <c r="D337" s="73" t="s">
        <v>8511</v>
      </c>
      <c r="E337" s="165" t="s">
        <v>19</v>
      </c>
      <c r="F337" s="74">
        <v>43360</v>
      </c>
      <c r="G337" s="95">
        <f>217.88+193.78+238.74+158.49+379.68+353.75+236+170.06+558+106.91+265.29+185+260+185+1116+195.66+153.53+1167.67+335+280+41.3+224.91+335</f>
        <v>7357.65</v>
      </c>
      <c r="H337" s="63"/>
      <c r="I337" s="63">
        <f>310+465+310</f>
        <v>1085</v>
      </c>
      <c r="J337" s="63"/>
      <c r="K337" s="133"/>
      <c r="L337" s="63"/>
      <c r="M337" s="63"/>
      <c r="N337" s="63"/>
      <c r="O337" s="63"/>
      <c r="P337" s="63"/>
      <c r="Q337" s="63">
        <f t="shared" si="18"/>
        <v>8442.65</v>
      </c>
      <c r="R337" s="63">
        <f t="shared" si="19"/>
        <v>0</v>
      </c>
      <c r="S337" s="63">
        <f t="shared" si="20"/>
        <v>8442.65</v>
      </c>
    </row>
    <row r="338" spans="1:19" s="77" customFormat="1" ht="12" x14ac:dyDescent="0.2">
      <c r="A338" s="68" t="s">
        <v>8512</v>
      </c>
      <c r="B338" s="68" t="s">
        <v>8513</v>
      </c>
      <c r="C338" s="88">
        <v>229</v>
      </c>
      <c r="D338" s="73" t="s">
        <v>8514</v>
      </c>
      <c r="E338" s="165" t="s">
        <v>19</v>
      </c>
      <c r="F338" s="74">
        <v>43360</v>
      </c>
      <c r="G338" s="95">
        <f>1.48+110.92</f>
        <v>112.4</v>
      </c>
      <c r="H338" s="63"/>
      <c r="I338" s="63"/>
      <c r="J338" s="63"/>
      <c r="K338" s="133"/>
      <c r="L338" s="63"/>
      <c r="M338" s="63"/>
      <c r="N338" s="63"/>
      <c r="O338" s="63"/>
      <c r="P338" s="63"/>
      <c r="Q338" s="63">
        <f t="shared" si="18"/>
        <v>112.4</v>
      </c>
      <c r="R338" s="63">
        <f t="shared" si="19"/>
        <v>0</v>
      </c>
      <c r="S338" s="63">
        <f t="shared" si="20"/>
        <v>112.4</v>
      </c>
    </row>
    <row r="339" spans="1:19" s="77" customFormat="1" ht="12" x14ac:dyDescent="0.2">
      <c r="A339" s="68" t="s">
        <v>8515</v>
      </c>
      <c r="B339" s="68" t="s">
        <v>8516</v>
      </c>
      <c r="C339" s="88">
        <v>230</v>
      </c>
      <c r="D339" s="73" t="s">
        <v>8517</v>
      </c>
      <c r="E339" s="165" t="s">
        <v>19</v>
      </c>
      <c r="F339" s="74">
        <v>43361</v>
      </c>
      <c r="G339" s="95">
        <f>122.4+550+557.63</f>
        <v>1230.03</v>
      </c>
      <c r="H339" s="63"/>
      <c r="I339" s="63"/>
      <c r="J339" s="63"/>
      <c r="K339" s="133"/>
      <c r="L339" s="63"/>
      <c r="M339" s="63"/>
      <c r="N339" s="63"/>
      <c r="O339" s="63"/>
      <c r="P339" s="63"/>
      <c r="Q339" s="63">
        <f t="shared" ref="Q339:Q396" si="21">+G339+I339+K339+M339+O339</f>
        <v>1230.03</v>
      </c>
      <c r="R339" s="63">
        <f t="shared" ref="R339:R396" si="22">+H339+J339+L339+N339+P339</f>
        <v>0</v>
      </c>
      <c r="S339" s="63">
        <f t="shared" ref="S339:S396" si="23">+Q339+R339</f>
        <v>1230.03</v>
      </c>
    </row>
    <row r="340" spans="1:19" s="77" customFormat="1" ht="12" x14ac:dyDescent="0.2">
      <c r="A340" s="68" t="s">
        <v>8518</v>
      </c>
      <c r="B340" s="68" t="s">
        <v>8519</v>
      </c>
      <c r="C340" s="88">
        <v>231</v>
      </c>
      <c r="D340" s="73" t="s">
        <v>8520</v>
      </c>
      <c r="E340" s="165" t="s">
        <v>19</v>
      </c>
      <c r="F340" s="74">
        <v>43361</v>
      </c>
      <c r="G340" s="95">
        <v>199.36</v>
      </c>
      <c r="H340" s="63"/>
      <c r="I340" s="63"/>
      <c r="J340" s="63"/>
      <c r="K340" s="133"/>
      <c r="L340" s="63"/>
      <c r="M340" s="63"/>
      <c r="N340" s="63"/>
      <c r="O340" s="63"/>
      <c r="P340" s="63"/>
      <c r="Q340" s="63">
        <f t="shared" si="21"/>
        <v>199.36</v>
      </c>
      <c r="R340" s="63">
        <f t="shared" si="22"/>
        <v>0</v>
      </c>
      <c r="S340" s="63">
        <f t="shared" si="23"/>
        <v>199.36</v>
      </c>
    </row>
    <row r="341" spans="1:19" s="77" customFormat="1" ht="12" x14ac:dyDescent="0.2">
      <c r="A341" s="68" t="s">
        <v>8518</v>
      </c>
      <c r="B341" s="68" t="s">
        <v>8519</v>
      </c>
      <c r="C341" s="88">
        <v>231</v>
      </c>
      <c r="D341" s="73" t="s">
        <v>8521</v>
      </c>
      <c r="E341" s="165" t="s">
        <v>19</v>
      </c>
      <c r="F341" s="74">
        <v>43361</v>
      </c>
      <c r="G341" s="95">
        <f>46.39+245.07+146.27</f>
        <v>437.73</v>
      </c>
      <c r="H341" s="63"/>
      <c r="I341" s="63">
        <v>124</v>
      </c>
      <c r="J341" s="63"/>
      <c r="K341" s="133"/>
      <c r="L341" s="63"/>
      <c r="M341" s="63"/>
      <c r="N341" s="63"/>
      <c r="O341" s="63"/>
      <c r="P341" s="63"/>
      <c r="Q341" s="63">
        <f t="shared" si="21"/>
        <v>561.73</v>
      </c>
      <c r="R341" s="63">
        <f t="shared" si="22"/>
        <v>0</v>
      </c>
      <c r="S341" s="63">
        <f t="shared" si="23"/>
        <v>561.73</v>
      </c>
    </row>
    <row r="342" spans="1:19" s="77" customFormat="1" ht="12" x14ac:dyDescent="0.2">
      <c r="A342" s="68" t="s">
        <v>8518</v>
      </c>
      <c r="B342" s="68" t="s">
        <v>8519</v>
      </c>
      <c r="C342" s="88">
        <v>231</v>
      </c>
      <c r="D342" s="73" t="s">
        <v>8522</v>
      </c>
      <c r="E342" s="165" t="s">
        <v>19</v>
      </c>
      <c r="F342" s="74">
        <v>43361</v>
      </c>
      <c r="G342" s="95">
        <f>100.84+316.59</f>
        <v>417.42999999999995</v>
      </c>
      <c r="H342" s="63"/>
      <c r="I342" s="63">
        <v>558</v>
      </c>
      <c r="J342" s="63"/>
      <c r="K342" s="133"/>
      <c r="L342" s="63"/>
      <c r="M342" s="63"/>
      <c r="N342" s="63"/>
      <c r="O342" s="63"/>
      <c r="P342" s="63"/>
      <c r="Q342" s="63">
        <f t="shared" si="21"/>
        <v>975.43</v>
      </c>
      <c r="R342" s="63">
        <f t="shared" si="22"/>
        <v>0</v>
      </c>
      <c r="S342" s="63">
        <f t="shared" si="23"/>
        <v>975.43</v>
      </c>
    </row>
    <row r="343" spans="1:19" s="77" customFormat="1" ht="12" x14ac:dyDescent="0.2">
      <c r="A343" s="68" t="s">
        <v>8518</v>
      </c>
      <c r="B343" s="68" t="s">
        <v>8519</v>
      </c>
      <c r="C343" s="88">
        <v>231</v>
      </c>
      <c r="D343" s="73" t="s">
        <v>8523</v>
      </c>
      <c r="E343" s="165" t="s">
        <v>19</v>
      </c>
      <c r="F343" s="74">
        <v>43361</v>
      </c>
      <c r="G343" s="95">
        <v>141.52000000000001</v>
      </c>
      <c r="H343" s="63"/>
      <c r="I343" s="63"/>
      <c r="J343" s="63"/>
      <c r="K343" s="133"/>
      <c r="L343" s="63"/>
      <c r="M343" s="63"/>
      <c r="N343" s="63"/>
      <c r="O343" s="63"/>
      <c r="P343" s="63"/>
      <c r="Q343" s="63">
        <f t="shared" si="21"/>
        <v>141.52000000000001</v>
      </c>
      <c r="R343" s="63">
        <f t="shared" si="22"/>
        <v>0</v>
      </c>
      <c r="S343" s="63">
        <f t="shared" si="23"/>
        <v>141.52000000000001</v>
      </c>
    </row>
    <row r="344" spans="1:19" s="77" customFormat="1" ht="12" x14ac:dyDescent="0.2">
      <c r="A344" s="68" t="s">
        <v>8524</v>
      </c>
      <c r="B344" s="68" t="s">
        <v>8525</v>
      </c>
      <c r="C344" s="88">
        <v>232</v>
      </c>
      <c r="D344" s="73" t="s">
        <v>8526</v>
      </c>
      <c r="E344" s="165" t="s">
        <v>19</v>
      </c>
      <c r="F344" s="74">
        <v>43362</v>
      </c>
      <c r="G344" s="95">
        <f>17.88+155.76</f>
        <v>173.64</v>
      </c>
      <c r="H344" s="63"/>
      <c r="I344" s="63"/>
      <c r="J344" s="63"/>
      <c r="K344" s="133"/>
      <c r="L344" s="63"/>
      <c r="M344" s="63"/>
      <c r="N344" s="63"/>
      <c r="O344" s="63"/>
      <c r="P344" s="63"/>
      <c r="Q344" s="63">
        <f t="shared" si="21"/>
        <v>173.64</v>
      </c>
      <c r="R344" s="63">
        <f t="shared" si="22"/>
        <v>0</v>
      </c>
      <c r="S344" s="63">
        <f t="shared" si="23"/>
        <v>173.64</v>
      </c>
    </row>
    <row r="345" spans="1:19" s="77" customFormat="1" ht="12" x14ac:dyDescent="0.2">
      <c r="A345" s="68" t="s">
        <v>8527</v>
      </c>
      <c r="B345" s="68" t="s">
        <v>8528</v>
      </c>
      <c r="C345" s="88">
        <v>233</v>
      </c>
      <c r="D345" s="73" t="s">
        <v>8529</v>
      </c>
      <c r="E345" s="165" t="s">
        <v>19</v>
      </c>
      <c r="F345" s="74">
        <v>43362</v>
      </c>
      <c r="G345" s="95">
        <f>240+41.89+278.48</f>
        <v>560.37</v>
      </c>
      <c r="H345" s="63"/>
      <c r="I345" s="63"/>
      <c r="J345" s="63"/>
      <c r="K345" s="133"/>
      <c r="L345" s="63"/>
      <c r="M345" s="63"/>
      <c r="N345" s="63"/>
      <c r="O345" s="63"/>
      <c r="P345" s="63"/>
      <c r="Q345" s="63">
        <f t="shared" si="21"/>
        <v>560.37</v>
      </c>
      <c r="R345" s="63">
        <f t="shared" si="22"/>
        <v>0</v>
      </c>
      <c r="S345" s="63">
        <f t="shared" si="23"/>
        <v>560.37</v>
      </c>
    </row>
    <row r="346" spans="1:19" s="77" customFormat="1" ht="12" x14ac:dyDescent="0.2">
      <c r="A346" s="68">
        <v>17412</v>
      </c>
      <c r="B346" s="68" t="s">
        <v>8530</v>
      </c>
      <c r="C346" s="88">
        <v>234</v>
      </c>
      <c r="D346" s="73" t="s">
        <v>8531</v>
      </c>
      <c r="E346" s="165" t="s">
        <v>19</v>
      </c>
      <c r="F346" s="74">
        <v>43362</v>
      </c>
      <c r="G346" s="95">
        <v>204.31</v>
      </c>
      <c r="H346" s="63"/>
      <c r="I346" s="63"/>
      <c r="J346" s="63"/>
      <c r="K346" s="133"/>
      <c r="L346" s="63"/>
      <c r="M346" s="63"/>
      <c r="N346" s="63"/>
      <c r="O346" s="63"/>
      <c r="P346" s="63"/>
      <c r="Q346" s="63">
        <f t="shared" si="21"/>
        <v>204.31</v>
      </c>
      <c r="R346" s="63">
        <f t="shared" si="22"/>
        <v>0</v>
      </c>
      <c r="S346" s="63">
        <f t="shared" si="23"/>
        <v>204.31</v>
      </c>
    </row>
    <row r="347" spans="1:19" s="77" customFormat="1" ht="12" x14ac:dyDescent="0.2">
      <c r="A347" s="68">
        <v>17412</v>
      </c>
      <c r="B347" s="68" t="s">
        <v>8530</v>
      </c>
      <c r="C347" s="88">
        <v>234</v>
      </c>
      <c r="D347" s="73" t="s">
        <v>8532</v>
      </c>
      <c r="E347" s="165" t="s">
        <v>19</v>
      </c>
      <c r="F347" s="74">
        <v>43362</v>
      </c>
      <c r="G347" s="95">
        <f>41.3+275.02+1358.81+275.02+201.66</f>
        <v>2151.81</v>
      </c>
      <c r="H347" s="63"/>
      <c r="I347" s="63">
        <v>2790</v>
      </c>
      <c r="J347" s="63"/>
      <c r="K347" s="133"/>
      <c r="L347" s="63"/>
      <c r="M347" s="63"/>
      <c r="N347" s="63"/>
      <c r="O347" s="63"/>
      <c r="P347" s="63"/>
      <c r="Q347" s="63">
        <f t="shared" si="21"/>
        <v>4941.8099999999995</v>
      </c>
      <c r="R347" s="63">
        <f t="shared" si="22"/>
        <v>0</v>
      </c>
      <c r="S347" s="63">
        <f t="shared" si="23"/>
        <v>4941.8099999999995</v>
      </c>
    </row>
    <row r="348" spans="1:19" s="77" customFormat="1" ht="12" x14ac:dyDescent="0.2">
      <c r="A348" s="68">
        <v>16296</v>
      </c>
      <c r="B348" s="68" t="s">
        <v>8533</v>
      </c>
      <c r="C348" s="88">
        <v>235</v>
      </c>
      <c r="D348" s="73" t="s">
        <v>8534</v>
      </c>
      <c r="E348" s="165" t="s">
        <v>8562</v>
      </c>
      <c r="F348" s="74">
        <v>43364</v>
      </c>
      <c r="G348" s="95">
        <f>1318.6+6055+5290+112+116+11.3</f>
        <v>12902.9</v>
      </c>
      <c r="H348" s="63"/>
      <c r="I348" s="63"/>
      <c r="J348" s="63"/>
      <c r="K348" s="133"/>
      <c r="L348" s="63"/>
      <c r="M348" s="63"/>
      <c r="N348" s="63"/>
      <c r="O348" s="63"/>
      <c r="P348" s="63"/>
      <c r="Q348" s="63">
        <f>+G348+I348+K348+M348+O348</f>
        <v>12902.9</v>
      </c>
      <c r="R348" s="63">
        <f>+H348+J348+L348+N348+P348</f>
        <v>0</v>
      </c>
      <c r="S348" s="63">
        <f>+Q348+R348</f>
        <v>12902.9</v>
      </c>
    </row>
    <row r="349" spans="1:19" s="77" customFormat="1" ht="12" x14ac:dyDescent="0.2">
      <c r="A349" s="68">
        <v>16296</v>
      </c>
      <c r="B349" s="68" t="s">
        <v>8533</v>
      </c>
      <c r="C349" s="88">
        <v>235</v>
      </c>
      <c r="D349" s="73" t="s">
        <v>8535</v>
      </c>
      <c r="E349" s="165" t="s">
        <v>8562</v>
      </c>
      <c r="F349" s="74">
        <v>43364</v>
      </c>
      <c r="G349" s="95">
        <f>26.4+152</f>
        <v>178.4</v>
      </c>
      <c r="H349" s="63"/>
      <c r="I349" s="63"/>
      <c r="J349" s="63"/>
      <c r="K349" s="133"/>
      <c r="L349" s="63"/>
      <c r="M349" s="63"/>
      <c r="N349" s="63"/>
      <c r="O349" s="63"/>
      <c r="P349" s="63"/>
      <c r="Q349" s="63">
        <f t="shared" si="21"/>
        <v>178.4</v>
      </c>
      <c r="R349" s="63">
        <f t="shared" si="22"/>
        <v>0</v>
      </c>
      <c r="S349" s="63">
        <f t="shared" si="23"/>
        <v>178.4</v>
      </c>
    </row>
    <row r="350" spans="1:19" s="77" customFormat="1" ht="12" x14ac:dyDescent="0.2">
      <c r="A350" s="68" t="s">
        <v>8536</v>
      </c>
      <c r="B350" s="68" t="s">
        <v>8537</v>
      </c>
      <c r="C350" s="88">
        <v>236</v>
      </c>
      <c r="D350" s="73" t="s">
        <v>8538</v>
      </c>
      <c r="E350" s="165" t="s">
        <v>19</v>
      </c>
      <c r="F350" s="74">
        <v>43365</v>
      </c>
      <c r="G350" s="95">
        <f>66.8+300+400+732.1+59</f>
        <v>1557.9</v>
      </c>
      <c r="H350" s="63"/>
      <c r="I350" s="63">
        <f>1860+1860+430</f>
        <v>4150</v>
      </c>
      <c r="J350" s="63"/>
      <c r="K350" s="133"/>
      <c r="L350" s="63"/>
      <c r="M350" s="63"/>
      <c r="N350" s="63"/>
      <c r="O350" s="63"/>
      <c r="P350" s="63"/>
      <c r="Q350" s="63">
        <f t="shared" si="21"/>
        <v>5707.9</v>
      </c>
      <c r="R350" s="63">
        <f t="shared" si="22"/>
        <v>0</v>
      </c>
      <c r="S350" s="63">
        <f t="shared" si="23"/>
        <v>5707.9</v>
      </c>
    </row>
    <row r="351" spans="1:19" s="77" customFormat="1" ht="12" x14ac:dyDescent="0.2">
      <c r="A351" s="68" t="s">
        <v>8539</v>
      </c>
      <c r="B351" s="68" t="s">
        <v>8540</v>
      </c>
      <c r="C351" s="88">
        <v>237</v>
      </c>
      <c r="D351" s="73" t="s">
        <v>8541</v>
      </c>
      <c r="E351" s="165" t="s">
        <v>8563</v>
      </c>
      <c r="F351" s="74">
        <v>43366</v>
      </c>
      <c r="G351" s="95">
        <f>7+53</f>
        <v>60</v>
      </c>
      <c r="H351" s="63"/>
      <c r="I351" s="63"/>
      <c r="J351" s="63"/>
      <c r="K351" s="133"/>
      <c r="L351" s="63"/>
      <c r="M351" s="63"/>
      <c r="N351" s="63"/>
      <c r="O351" s="63"/>
      <c r="P351" s="63"/>
      <c r="Q351" s="63">
        <f t="shared" si="21"/>
        <v>60</v>
      </c>
      <c r="R351" s="63">
        <f t="shared" si="22"/>
        <v>0</v>
      </c>
      <c r="S351" s="63">
        <f t="shared" si="23"/>
        <v>60</v>
      </c>
    </row>
    <row r="352" spans="1:19" s="77" customFormat="1" ht="12" x14ac:dyDescent="0.2">
      <c r="A352" s="68" t="s">
        <v>8539</v>
      </c>
      <c r="B352" s="68" t="s">
        <v>8540</v>
      </c>
      <c r="C352" s="88">
        <v>237</v>
      </c>
      <c r="D352" s="73" t="s">
        <v>8542</v>
      </c>
      <c r="E352" s="165" t="s">
        <v>8563</v>
      </c>
      <c r="F352" s="74">
        <v>43366</v>
      </c>
      <c r="G352" s="95">
        <f>294+61.3+224.04+76.8+558+300+120+300</f>
        <v>1934.1399999999999</v>
      </c>
      <c r="H352" s="63"/>
      <c r="I352" s="63">
        <f>3007+527</f>
        <v>3534</v>
      </c>
      <c r="J352" s="63"/>
      <c r="K352" s="133"/>
      <c r="L352" s="63"/>
      <c r="M352" s="63"/>
      <c r="N352" s="63"/>
      <c r="O352" s="63"/>
      <c r="P352" s="63"/>
      <c r="Q352" s="63">
        <f t="shared" si="21"/>
        <v>5468.1399999999994</v>
      </c>
      <c r="R352" s="63">
        <f t="shared" si="22"/>
        <v>0</v>
      </c>
      <c r="S352" s="63">
        <f t="shared" si="23"/>
        <v>5468.1399999999994</v>
      </c>
    </row>
    <row r="353" spans="1:19" s="77" customFormat="1" ht="12" x14ac:dyDescent="0.2">
      <c r="A353" s="68" t="s">
        <v>8543</v>
      </c>
      <c r="B353" s="68" t="s">
        <v>8544</v>
      </c>
      <c r="C353" s="88">
        <v>238</v>
      </c>
      <c r="D353" s="73" t="s">
        <v>8545</v>
      </c>
      <c r="E353" s="165" t="s">
        <v>19</v>
      </c>
      <c r="F353" s="74">
        <v>43367</v>
      </c>
      <c r="G353" s="95">
        <f>106.91+75.43+199.93+232.4+178.97+122.68+700+324.36+41.3+41.3+238.14+105.28+97.08+256.21+335+100.81+335+255</f>
        <v>3745.7999999999997</v>
      </c>
      <c r="H353" s="63"/>
      <c r="I353" s="63">
        <f>465+930+465</f>
        <v>1860</v>
      </c>
      <c r="J353" s="63"/>
      <c r="K353" s="133"/>
      <c r="L353" s="63"/>
      <c r="M353" s="63"/>
      <c r="N353" s="63"/>
      <c r="O353" s="63"/>
      <c r="P353" s="63"/>
      <c r="Q353" s="63">
        <f t="shared" si="21"/>
        <v>5605.7999999999993</v>
      </c>
      <c r="R353" s="63">
        <f t="shared" si="22"/>
        <v>0</v>
      </c>
      <c r="S353" s="63">
        <f t="shared" si="23"/>
        <v>5605.7999999999993</v>
      </c>
    </row>
    <row r="354" spans="1:19" s="77" customFormat="1" ht="12" x14ac:dyDescent="0.2">
      <c r="A354" s="68" t="s">
        <v>8546</v>
      </c>
      <c r="B354" s="68" t="s">
        <v>8547</v>
      </c>
      <c r="C354" s="88">
        <v>239</v>
      </c>
      <c r="D354" s="73" t="s">
        <v>8548</v>
      </c>
      <c r="E354" s="165" t="s">
        <v>19</v>
      </c>
      <c r="F354" s="74">
        <v>43369</v>
      </c>
      <c r="G354" s="95">
        <v>145.72</v>
      </c>
      <c r="H354" s="63"/>
      <c r="I354" s="63"/>
      <c r="J354" s="63"/>
      <c r="K354" s="133"/>
      <c r="L354" s="63"/>
      <c r="M354" s="63"/>
      <c r="N354" s="63"/>
      <c r="O354" s="63"/>
      <c r="P354" s="63"/>
      <c r="Q354" s="63">
        <f t="shared" si="21"/>
        <v>145.72</v>
      </c>
      <c r="R354" s="63">
        <f t="shared" si="22"/>
        <v>0</v>
      </c>
      <c r="S354" s="63">
        <f t="shared" si="23"/>
        <v>145.72</v>
      </c>
    </row>
    <row r="355" spans="1:19" s="77" customFormat="1" ht="12" x14ac:dyDescent="0.2">
      <c r="A355" s="68" t="s">
        <v>8546</v>
      </c>
      <c r="B355" s="68" t="s">
        <v>8547</v>
      </c>
      <c r="C355" s="88">
        <v>239</v>
      </c>
      <c r="D355" s="73" t="s">
        <v>8770</v>
      </c>
      <c r="E355" s="165" t="s">
        <v>19</v>
      </c>
      <c r="F355" s="74">
        <v>43369</v>
      </c>
      <c r="G355" s="95">
        <v>119.08</v>
      </c>
      <c r="H355" s="63"/>
      <c r="I355" s="63"/>
      <c r="J355" s="63"/>
      <c r="K355" s="133"/>
      <c r="L355" s="63"/>
      <c r="M355" s="63"/>
      <c r="N355" s="63"/>
      <c r="O355" s="63"/>
      <c r="P355" s="63"/>
      <c r="Q355" s="63">
        <f t="shared" si="21"/>
        <v>119.08</v>
      </c>
      <c r="R355" s="63">
        <f t="shared" si="22"/>
        <v>0</v>
      </c>
      <c r="S355" s="63">
        <f t="shared" si="23"/>
        <v>119.08</v>
      </c>
    </row>
    <row r="356" spans="1:19" s="77" customFormat="1" ht="12" x14ac:dyDescent="0.2">
      <c r="A356" s="68" t="s">
        <v>8549</v>
      </c>
      <c r="B356" s="68" t="s">
        <v>5103</v>
      </c>
      <c r="C356" s="88">
        <v>240</v>
      </c>
      <c r="D356" s="73" t="s">
        <v>8550</v>
      </c>
      <c r="E356" s="165" t="s">
        <v>19</v>
      </c>
      <c r="F356" s="74">
        <v>43371</v>
      </c>
      <c r="G356" s="95">
        <v>40</v>
      </c>
      <c r="H356" s="63"/>
      <c r="I356" s="63"/>
      <c r="J356" s="63"/>
      <c r="K356" s="133"/>
      <c r="L356" s="63"/>
      <c r="M356" s="63"/>
      <c r="N356" s="63"/>
      <c r="O356" s="63"/>
      <c r="P356" s="63"/>
      <c r="Q356" s="63">
        <f t="shared" si="21"/>
        <v>40</v>
      </c>
      <c r="R356" s="63">
        <f t="shared" si="22"/>
        <v>0</v>
      </c>
      <c r="S356" s="63">
        <f t="shared" si="23"/>
        <v>40</v>
      </c>
    </row>
    <row r="357" spans="1:19" s="77" customFormat="1" ht="12" x14ac:dyDescent="0.2">
      <c r="A357" s="68" t="s">
        <v>8549</v>
      </c>
      <c r="B357" s="68" t="s">
        <v>5103</v>
      </c>
      <c r="C357" s="88">
        <v>240</v>
      </c>
      <c r="D357" s="73" t="s">
        <v>8551</v>
      </c>
      <c r="E357" s="165" t="s">
        <v>19</v>
      </c>
      <c r="F357" s="74">
        <v>43371</v>
      </c>
      <c r="G357" s="95">
        <v>40</v>
      </c>
      <c r="H357" s="63"/>
      <c r="I357" s="63"/>
      <c r="J357" s="63"/>
      <c r="K357" s="133"/>
      <c r="L357" s="63"/>
      <c r="M357" s="63"/>
      <c r="N357" s="63"/>
      <c r="O357" s="63"/>
      <c r="P357" s="63"/>
      <c r="Q357" s="63">
        <f t="shared" si="21"/>
        <v>40</v>
      </c>
      <c r="R357" s="63">
        <f t="shared" si="22"/>
        <v>0</v>
      </c>
      <c r="S357" s="63">
        <f t="shared" si="23"/>
        <v>40</v>
      </c>
    </row>
    <row r="358" spans="1:19" s="77" customFormat="1" ht="12" x14ac:dyDescent="0.2">
      <c r="A358" s="68" t="s">
        <v>8552</v>
      </c>
      <c r="B358" s="68" t="s">
        <v>8553</v>
      </c>
      <c r="C358" s="88">
        <v>241</v>
      </c>
      <c r="D358" s="73" t="s">
        <v>8554</v>
      </c>
      <c r="E358" s="165" t="s">
        <v>19</v>
      </c>
      <c r="F358" s="74">
        <v>43371</v>
      </c>
      <c r="G358" s="95">
        <f>300+192.25</f>
        <v>492.25</v>
      </c>
      <c r="H358" s="63"/>
      <c r="I358" s="63"/>
      <c r="J358" s="63"/>
      <c r="K358" s="133"/>
      <c r="L358" s="63"/>
      <c r="M358" s="63"/>
      <c r="N358" s="63"/>
      <c r="O358" s="63"/>
      <c r="P358" s="63"/>
      <c r="Q358" s="63">
        <f t="shared" si="21"/>
        <v>492.25</v>
      </c>
      <c r="R358" s="63">
        <f t="shared" si="22"/>
        <v>0</v>
      </c>
      <c r="S358" s="63">
        <f t="shared" si="23"/>
        <v>492.25</v>
      </c>
    </row>
    <row r="359" spans="1:19" s="77" customFormat="1" ht="12" x14ac:dyDescent="0.2">
      <c r="A359" s="68">
        <v>16119</v>
      </c>
      <c r="B359" s="68" t="s">
        <v>8555</v>
      </c>
      <c r="C359" s="88">
        <v>242</v>
      </c>
      <c r="D359" s="73" t="s">
        <v>8556</v>
      </c>
      <c r="E359" s="165" t="s">
        <v>19</v>
      </c>
      <c r="F359" s="74">
        <v>43372</v>
      </c>
      <c r="G359" s="95">
        <f>212.86+105</f>
        <v>317.86</v>
      </c>
      <c r="H359" s="63"/>
      <c r="I359" s="63">
        <v>217</v>
      </c>
      <c r="J359" s="63"/>
      <c r="K359" s="133"/>
      <c r="L359" s="63"/>
      <c r="M359" s="63"/>
      <c r="N359" s="63"/>
      <c r="O359" s="63"/>
      <c r="P359" s="63"/>
      <c r="Q359" s="63">
        <f t="shared" si="21"/>
        <v>534.86</v>
      </c>
      <c r="R359" s="63">
        <f t="shared" si="22"/>
        <v>0</v>
      </c>
      <c r="S359" s="63">
        <f t="shared" si="23"/>
        <v>534.86</v>
      </c>
    </row>
    <row r="360" spans="1:19" s="77" customFormat="1" ht="12" x14ac:dyDescent="0.2">
      <c r="A360" s="68" t="s">
        <v>8557</v>
      </c>
      <c r="B360" s="68" t="s">
        <v>8558</v>
      </c>
      <c r="C360" s="88">
        <v>243</v>
      </c>
      <c r="D360" s="73" t="s">
        <v>9288</v>
      </c>
      <c r="E360" s="165" t="s">
        <v>19</v>
      </c>
      <c r="F360" s="74">
        <v>43372</v>
      </c>
      <c r="G360" s="95">
        <f>41.3+111.93+165.14+82.39+170.06+130.48+41.3+270.8+223.48+249.5+41.3+174.5+242.53+182.55+115.3+41.3+477.69+41.3+108.06+32.8+223.48+41.3+41.3+246.08+113.31</f>
        <v>3609.1800000000007</v>
      </c>
      <c r="H360" s="63"/>
      <c r="I360" s="63">
        <v>620</v>
      </c>
      <c r="J360" s="63"/>
      <c r="K360" s="133"/>
      <c r="L360" s="63"/>
      <c r="M360" s="63"/>
      <c r="N360" s="63"/>
      <c r="O360" s="63"/>
      <c r="P360" s="63"/>
      <c r="Q360" s="63">
        <f t="shared" si="21"/>
        <v>4229.18</v>
      </c>
      <c r="R360" s="63">
        <f t="shared" si="22"/>
        <v>0</v>
      </c>
      <c r="S360" s="63">
        <f t="shared" si="23"/>
        <v>4229.18</v>
      </c>
    </row>
    <row r="361" spans="1:19" s="77" customFormat="1" ht="12" x14ac:dyDescent="0.2">
      <c r="A361" s="68">
        <v>13132</v>
      </c>
      <c r="B361" s="68" t="s">
        <v>8559</v>
      </c>
      <c r="C361" s="88">
        <v>244</v>
      </c>
      <c r="D361" s="73" t="s">
        <v>8560</v>
      </c>
      <c r="E361" s="165" t="s">
        <v>19</v>
      </c>
      <c r="F361" s="74">
        <v>43374</v>
      </c>
      <c r="G361" s="95"/>
      <c r="H361" s="63"/>
      <c r="I361" s="63"/>
      <c r="J361" s="63"/>
      <c r="K361" s="133"/>
      <c r="L361" s="63"/>
      <c r="M361" s="63"/>
      <c r="N361" s="63"/>
      <c r="O361" s="63"/>
      <c r="P361" s="63"/>
      <c r="Q361" s="63">
        <f t="shared" si="21"/>
        <v>0</v>
      </c>
      <c r="R361" s="63">
        <f t="shared" si="22"/>
        <v>0</v>
      </c>
      <c r="S361" s="63">
        <f t="shared" si="23"/>
        <v>0</v>
      </c>
    </row>
    <row r="362" spans="1:19" s="77" customFormat="1" ht="12" x14ac:dyDescent="0.2">
      <c r="A362" s="68" t="s">
        <v>8565</v>
      </c>
      <c r="B362" s="68" t="s">
        <v>8566</v>
      </c>
      <c r="C362" s="88">
        <v>245</v>
      </c>
      <c r="D362" s="73" t="s">
        <v>8567</v>
      </c>
      <c r="E362" s="165" t="s">
        <v>19</v>
      </c>
      <c r="F362" s="74">
        <v>43376</v>
      </c>
      <c r="G362" s="95">
        <v>108.1</v>
      </c>
      <c r="H362" s="63"/>
      <c r="I362" s="63"/>
      <c r="J362" s="63"/>
      <c r="K362" s="133"/>
      <c r="L362" s="63"/>
      <c r="M362" s="63"/>
      <c r="N362" s="63"/>
      <c r="O362" s="63"/>
      <c r="P362" s="63"/>
      <c r="Q362" s="63">
        <f t="shared" si="21"/>
        <v>108.1</v>
      </c>
      <c r="R362" s="63">
        <f t="shared" si="22"/>
        <v>0</v>
      </c>
      <c r="S362" s="63">
        <f t="shared" si="23"/>
        <v>108.1</v>
      </c>
    </row>
    <row r="363" spans="1:19" s="77" customFormat="1" ht="12" x14ac:dyDescent="0.2">
      <c r="A363" s="68" t="s">
        <v>8568</v>
      </c>
      <c r="B363" s="68" t="s">
        <v>8569</v>
      </c>
      <c r="C363" s="88">
        <v>246</v>
      </c>
      <c r="D363" s="73" t="s">
        <v>8570</v>
      </c>
      <c r="E363" s="165" t="s">
        <v>19</v>
      </c>
      <c r="F363" s="74">
        <v>43376</v>
      </c>
      <c r="G363" s="95">
        <v>172.39</v>
      </c>
      <c r="H363" s="63"/>
      <c r="I363" s="63"/>
      <c r="J363" s="63"/>
      <c r="K363" s="133"/>
      <c r="L363" s="63"/>
      <c r="M363" s="63"/>
      <c r="N363" s="63"/>
      <c r="O363" s="63"/>
      <c r="P363" s="63"/>
      <c r="Q363" s="63">
        <f t="shared" si="21"/>
        <v>172.39</v>
      </c>
      <c r="R363" s="63">
        <f t="shared" si="22"/>
        <v>0</v>
      </c>
      <c r="S363" s="63">
        <f t="shared" si="23"/>
        <v>172.39</v>
      </c>
    </row>
    <row r="364" spans="1:19" s="77" customFormat="1" ht="12" x14ac:dyDescent="0.2">
      <c r="A364" s="68" t="s">
        <v>8571</v>
      </c>
      <c r="B364" s="68" t="s">
        <v>8572</v>
      </c>
      <c r="C364" s="88">
        <v>247</v>
      </c>
      <c r="D364" s="73" t="s">
        <v>8573</v>
      </c>
      <c r="E364" s="165" t="s">
        <v>19</v>
      </c>
      <c r="F364" s="74">
        <v>43376</v>
      </c>
      <c r="G364" s="95">
        <v>209.7</v>
      </c>
      <c r="H364" s="63"/>
      <c r="I364" s="63"/>
      <c r="J364" s="63"/>
      <c r="K364" s="133"/>
      <c r="L364" s="63"/>
      <c r="M364" s="63"/>
      <c r="N364" s="63"/>
      <c r="O364" s="63"/>
      <c r="P364" s="63"/>
      <c r="Q364" s="63">
        <f t="shared" si="21"/>
        <v>209.7</v>
      </c>
      <c r="R364" s="63">
        <f t="shared" si="22"/>
        <v>0</v>
      </c>
      <c r="S364" s="63">
        <f t="shared" si="23"/>
        <v>209.7</v>
      </c>
    </row>
    <row r="365" spans="1:19" s="77" customFormat="1" ht="12" x14ac:dyDescent="0.2">
      <c r="A365" s="68" t="s">
        <v>8571</v>
      </c>
      <c r="B365" s="68" t="s">
        <v>8572</v>
      </c>
      <c r="C365" s="88">
        <v>247</v>
      </c>
      <c r="D365" s="73" t="s">
        <v>8574</v>
      </c>
      <c r="E365" s="165" t="s">
        <v>19</v>
      </c>
      <c r="F365" s="74">
        <v>43376</v>
      </c>
      <c r="G365" s="95">
        <v>72</v>
      </c>
      <c r="H365" s="63"/>
      <c r="I365" s="63"/>
      <c r="J365" s="63"/>
      <c r="K365" s="133"/>
      <c r="L365" s="63"/>
      <c r="M365" s="63"/>
      <c r="N365" s="63"/>
      <c r="O365" s="63"/>
      <c r="P365" s="63"/>
      <c r="Q365" s="63">
        <f t="shared" si="21"/>
        <v>72</v>
      </c>
      <c r="R365" s="63">
        <f t="shared" si="22"/>
        <v>0</v>
      </c>
      <c r="S365" s="63">
        <f t="shared" si="23"/>
        <v>72</v>
      </c>
    </row>
    <row r="366" spans="1:19" s="77" customFormat="1" ht="12" x14ac:dyDescent="0.2">
      <c r="A366" s="68">
        <v>15040</v>
      </c>
      <c r="B366" s="68" t="s">
        <v>8575</v>
      </c>
      <c r="C366" s="88">
        <v>248</v>
      </c>
      <c r="D366" s="73" t="s">
        <v>8576</v>
      </c>
      <c r="E366" s="165" t="s">
        <v>4064</v>
      </c>
      <c r="F366" s="74">
        <v>43377</v>
      </c>
      <c r="G366" s="95">
        <f>98+13</f>
        <v>111</v>
      </c>
      <c r="H366" s="63"/>
      <c r="I366" s="63"/>
      <c r="J366" s="63"/>
      <c r="K366" s="133"/>
      <c r="L366" s="63"/>
      <c r="M366" s="63"/>
      <c r="N366" s="63"/>
      <c r="O366" s="63"/>
      <c r="P366" s="63"/>
      <c r="Q366" s="63">
        <f t="shared" si="21"/>
        <v>111</v>
      </c>
      <c r="R366" s="63">
        <f t="shared" si="22"/>
        <v>0</v>
      </c>
      <c r="S366" s="63">
        <f t="shared" si="23"/>
        <v>111</v>
      </c>
    </row>
    <row r="367" spans="1:19" s="77" customFormat="1" ht="12" x14ac:dyDescent="0.2">
      <c r="A367" s="68">
        <v>15040</v>
      </c>
      <c r="B367" s="68" t="s">
        <v>8575</v>
      </c>
      <c r="C367" s="88">
        <v>248</v>
      </c>
      <c r="D367" s="73" t="s">
        <v>8577</v>
      </c>
      <c r="E367" s="165" t="s">
        <v>4064</v>
      </c>
      <c r="F367" s="74">
        <v>43377</v>
      </c>
      <c r="G367" s="95">
        <f>12+61</f>
        <v>73</v>
      </c>
      <c r="H367" s="63"/>
      <c r="I367" s="63"/>
      <c r="J367" s="63"/>
      <c r="K367" s="133"/>
      <c r="L367" s="63"/>
      <c r="M367" s="63"/>
      <c r="N367" s="63"/>
      <c r="O367" s="63"/>
      <c r="P367" s="63"/>
      <c r="Q367" s="63">
        <f t="shared" si="21"/>
        <v>73</v>
      </c>
      <c r="R367" s="63">
        <f t="shared" si="22"/>
        <v>0</v>
      </c>
      <c r="S367" s="63">
        <f t="shared" si="23"/>
        <v>73</v>
      </c>
    </row>
    <row r="368" spans="1:19" s="77" customFormat="1" ht="12" x14ac:dyDescent="0.2">
      <c r="A368" s="68" t="s">
        <v>8578</v>
      </c>
      <c r="B368" s="68" t="s">
        <v>8579</v>
      </c>
      <c r="C368" s="88">
        <v>249</v>
      </c>
      <c r="D368" s="73" t="s">
        <v>8580</v>
      </c>
      <c r="E368" s="165" t="s">
        <v>19</v>
      </c>
      <c r="F368" s="74">
        <v>43380</v>
      </c>
      <c r="G368" s="95">
        <f>62.49+181.51+172</f>
        <v>416</v>
      </c>
      <c r="H368" s="63"/>
      <c r="I368" s="63"/>
      <c r="J368" s="63"/>
      <c r="K368" s="133"/>
      <c r="L368" s="63"/>
      <c r="M368" s="63"/>
      <c r="N368" s="63"/>
      <c r="O368" s="63"/>
      <c r="P368" s="63"/>
      <c r="Q368" s="63">
        <f t="shared" si="21"/>
        <v>416</v>
      </c>
      <c r="R368" s="63">
        <f t="shared" si="22"/>
        <v>0</v>
      </c>
      <c r="S368" s="63">
        <f t="shared" si="23"/>
        <v>416</v>
      </c>
    </row>
    <row r="369" spans="1:19" s="77" customFormat="1" ht="12" x14ac:dyDescent="0.2">
      <c r="A369" s="68" t="s">
        <v>8581</v>
      </c>
      <c r="B369" s="68" t="s">
        <v>8582</v>
      </c>
      <c r="C369" s="88">
        <v>250</v>
      </c>
      <c r="D369" s="73" t="s">
        <v>8583</v>
      </c>
      <c r="E369" s="165" t="s">
        <v>19</v>
      </c>
      <c r="F369" s="74">
        <v>43380</v>
      </c>
      <c r="G369" s="95">
        <v>123.9</v>
      </c>
      <c r="H369" s="63"/>
      <c r="I369" s="63"/>
      <c r="J369" s="63"/>
      <c r="K369" s="133"/>
      <c r="L369" s="63"/>
      <c r="M369" s="63"/>
      <c r="N369" s="63"/>
      <c r="O369" s="63"/>
      <c r="P369" s="63"/>
      <c r="Q369" s="63">
        <f t="shared" si="21"/>
        <v>123.9</v>
      </c>
      <c r="R369" s="63">
        <f t="shared" si="22"/>
        <v>0</v>
      </c>
      <c r="S369" s="63">
        <f t="shared" si="23"/>
        <v>123.9</v>
      </c>
    </row>
    <row r="370" spans="1:19" s="77" customFormat="1" ht="12" x14ac:dyDescent="0.2">
      <c r="A370" s="68" t="s">
        <v>8584</v>
      </c>
      <c r="B370" s="68" t="s">
        <v>8585</v>
      </c>
      <c r="C370" s="88">
        <v>251</v>
      </c>
      <c r="D370" s="73" t="s">
        <v>8586</v>
      </c>
      <c r="E370" s="165" t="s">
        <v>19</v>
      </c>
      <c r="F370" s="74">
        <v>43381</v>
      </c>
      <c r="G370" s="95">
        <v>48.42</v>
      </c>
      <c r="H370" s="63"/>
      <c r="I370" s="63"/>
      <c r="J370" s="63"/>
      <c r="K370" s="133"/>
      <c r="L370" s="63"/>
      <c r="M370" s="63"/>
      <c r="N370" s="63"/>
      <c r="O370" s="63"/>
      <c r="P370" s="63"/>
      <c r="Q370" s="63">
        <f t="shared" si="21"/>
        <v>48.42</v>
      </c>
      <c r="R370" s="63">
        <f t="shared" si="22"/>
        <v>0</v>
      </c>
      <c r="S370" s="63">
        <f t="shared" si="23"/>
        <v>48.42</v>
      </c>
    </row>
    <row r="371" spans="1:19" s="77" customFormat="1" ht="12" x14ac:dyDescent="0.2">
      <c r="A371" s="68" t="s">
        <v>8584</v>
      </c>
      <c r="B371" s="68" t="s">
        <v>8585</v>
      </c>
      <c r="C371" s="88">
        <v>251</v>
      </c>
      <c r="D371" s="73" t="s">
        <v>8587</v>
      </c>
      <c r="E371" s="165" t="s">
        <v>19</v>
      </c>
      <c r="F371" s="74">
        <v>43381</v>
      </c>
      <c r="G371" s="95">
        <v>72.64</v>
      </c>
      <c r="H371" s="63"/>
      <c r="I371" s="63"/>
      <c r="J371" s="63"/>
      <c r="K371" s="133"/>
      <c r="L371" s="63"/>
      <c r="M371" s="63"/>
      <c r="N371" s="63"/>
      <c r="O371" s="63"/>
      <c r="P371" s="63"/>
      <c r="Q371" s="63">
        <f t="shared" si="21"/>
        <v>72.64</v>
      </c>
      <c r="R371" s="63">
        <f t="shared" si="22"/>
        <v>0</v>
      </c>
      <c r="S371" s="63">
        <f t="shared" si="23"/>
        <v>72.64</v>
      </c>
    </row>
    <row r="372" spans="1:19" s="77" customFormat="1" ht="12" x14ac:dyDescent="0.2">
      <c r="A372" s="68" t="s">
        <v>8584</v>
      </c>
      <c r="B372" s="68" t="s">
        <v>8585</v>
      </c>
      <c r="C372" s="88">
        <v>251</v>
      </c>
      <c r="D372" s="73" t="s">
        <v>8588</v>
      </c>
      <c r="E372" s="165" t="s">
        <v>19</v>
      </c>
      <c r="F372" s="74">
        <v>43381</v>
      </c>
      <c r="G372" s="95">
        <f>157.94+300</f>
        <v>457.94</v>
      </c>
      <c r="H372" s="63"/>
      <c r="I372" s="63"/>
      <c r="J372" s="63"/>
      <c r="K372" s="133"/>
      <c r="L372" s="63"/>
      <c r="M372" s="63"/>
      <c r="N372" s="63"/>
      <c r="O372" s="63"/>
      <c r="P372" s="63"/>
      <c r="Q372" s="63">
        <f t="shared" si="21"/>
        <v>457.94</v>
      </c>
      <c r="R372" s="63">
        <f t="shared" si="22"/>
        <v>0</v>
      </c>
      <c r="S372" s="63">
        <f t="shared" si="23"/>
        <v>457.94</v>
      </c>
    </row>
    <row r="373" spans="1:19" s="77" customFormat="1" ht="12" x14ac:dyDescent="0.2">
      <c r="A373" s="68">
        <v>15253</v>
      </c>
      <c r="B373" s="68" t="s">
        <v>8589</v>
      </c>
      <c r="C373" s="88">
        <v>252</v>
      </c>
      <c r="D373" s="73" t="s">
        <v>8590</v>
      </c>
      <c r="E373" s="165" t="s">
        <v>19</v>
      </c>
      <c r="F373" s="74">
        <v>43382</v>
      </c>
      <c r="G373" s="95">
        <v>171.53</v>
      </c>
      <c r="H373" s="63"/>
      <c r="I373" s="63"/>
      <c r="J373" s="63"/>
      <c r="K373" s="133"/>
      <c r="L373" s="63"/>
      <c r="M373" s="63"/>
      <c r="N373" s="63"/>
      <c r="O373" s="63"/>
      <c r="P373" s="63"/>
      <c r="Q373" s="63">
        <f t="shared" si="21"/>
        <v>171.53</v>
      </c>
      <c r="R373" s="63">
        <f t="shared" si="22"/>
        <v>0</v>
      </c>
      <c r="S373" s="63">
        <f t="shared" si="23"/>
        <v>171.53</v>
      </c>
    </row>
    <row r="374" spans="1:19" s="77" customFormat="1" ht="12" x14ac:dyDescent="0.2">
      <c r="A374" s="68">
        <v>15253</v>
      </c>
      <c r="B374" s="68" t="s">
        <v>8591</v>
      </c>
      <c r="C374" s="88">
        <v>253</v>
      </c>
      <c r="D374" s="73" t="s">
        <v>8592</v>
      </c>
      <c r="E374" s="165" t="s">
        <v>19</v>
      </c>
      <c r="F374" s="74">
        <v>43382</v>
      </c>
      <c r="G374" s="95">
        <f>41.3+79.77+157+558+1250+390.69+181.51+101.39+181.51+62.13</f>
        <v>3003.2999999999993</v>
      </c>
      <c r="H374" s="63"/>
      <c r="I374" s="63">
        <f>930+1240+1240</f>
        <v>3410</v>
      </c>
      <c r="J374" s="63"/>
      <c r="K374" s="133"/>
      <c r="L374" s="63"/>
      <c r="M374" s="63"/>
      <c r="N374" s="63"/>
      <c r="O374" s="63"/>
      <c r="P374" s="63"/>
      <c r="Q374" s="63">
        <f t="shared" si="21"/>
        <v>6413.2999999999993</v>
      </c>
      <c r="R374" s="63">
        <f t="shared" si="22"/>
        <v>0</v>
      </c>
      <c r="S374" s="63">
        <f t="shared" si="23"/>
        <v>6413.2999999999993</v>
      </c>
    </row>
    <row r="375" spans="1:19" s="77" customFormat="1" ht="12" x14ac:dyDescent="0.2">
      <c r="A375" s="68">
        <v>8873</v>
      </c>
      <c r="B375" s="68" t="s">
        <v>8593</v>
      </c>
      <c r="C375" s="88">
        <v>254</v>
      </c>
      <c r="D375" s="73" t="s">
        <v>8594</v>
      </c>
      <c r="E375" s="165" t="s">
        <v>19</v>
      </c>
      <c r="F375" s="74">
        <v>43385</v>
      </c>
      <c r="G375" s="95">
        <v>201.12</v>
      </c>
      <c r="H375" s="63"/>
      <c r="I375" s="63"/>
      <c r="J375" s="63"/>
      <c r="K375" s="133"/>
      <c r="L375" s="63"/>
      <c r="M375" s="63"/>
      <c r="N375" s="63"/>
      <c r="O375" s="63"/>
      <c r="P375" s="63"/>
      <c r="Q375" s="63">
        <f t="shared" si="21"/>
        <v>201.12</v>
      </c>
      <c r="R375" s="63">
        <f t="shared" si="22"/>
        <v>0</v>
      </c>
      <c r="S375" s="63">
        <f t="shared" si="23"/>
        <v>201.12</v>
      </c>
    </row>
    <row r="376" spans="1:19" s="77" customFormat="1" ht="12" x14ac:dyDescent="0.2">
      <c r="A376" s="68">
        <v>17166</v>
      </c>
      <c r="B376" s="68" t="s">
        <v>8595</v>
      </c>
      <c r="C376" s="88">
        <v>255</v>
      </c>
      <c r="D376" s="73" t="s">
        <v>8596</v>
      </c>
      <c r="E376" s="165" t="s">
        <v>19</v>
      </c>
      <c r="F376" s="74">
        <v>43385</v>
      </c>
      <c r="G376" s="95">
        <f>1530.4+688+84</f>
        <v>2302.4</v>
      </c>
      <c r="H376" s="63"/>
      <c r="I376" s="63"/>
      <c r="J376" s="63"/>
      <c r="K376" s="133"/>
      <c r="L376" s="63"/>
      <c r="M376" s="63"/>
      <c r="N376" s="63"/>
      <c r="O376" s="63"/>
      <c r="P376" s="63"/>
      <c r="Q376" s="63">
        <f t="shared" si="21"/>
        <v>2302.4</v>
      </c>
      <c r="R376" s="63">
        <f t="shared" si="22"/>
        <v>0</v>
      </c>
      <c r="S376" s="63">
        <f t="shared" si="23"/>
        <v>2302.4</v>
      </c>
    </row>
    <row r="377" spans="1:19" s="77" customFormat="1" ht="12" x14ac:dyDescent="0.2">
      <c r="A377" s="68">
        <v>17166</v>
      </c>
      <c r="B377" s="68" t="s">
        <v>8595</v>
      </c>
      <c r="C377" s="88">
        <v>255</v>
      </c>
      <c r="D377" s="73" t="s">
        <v>9170</v>
      </c>
      <c r="E377" s="165" t="s">
        <v>19</v>
      </c>
      <c r="F377" s="74">
        <v>43385</v>
      </c>
      <c r="G377" s="95">
        <f>89+15</f>
        <v>104</v>
      </c>
      <c r="H377" s="63"/>
      <c r="I377" s="63"/>
      <c r="J377" s="63"/>
      <c r="K377" s="133"/>
      <c r="L377" s="63"/>
      <c r="M377" s="63"/>
      <c r="N377" s="63"/>
      <c r="O377" s="63"/>
      <c r="P377" s="63"/>
      <c r="Q377" s="63">
        <f>+G377+I377+K377+M377+O377</f>
        <v>104</v>
      </c>
      <c r="R377" s="63">
        <f>+H377+J377+L377+N377+P377</f>
        <v>0</v>
      </c>
      <c r="S377" s="63">
        <f>+Q377+R377</f>
        <v>104</v>
      </c>
    </row>
    <row r="378" spans="1:19" s="77" customFormat="1" ht="12" x14ac:dyDescent="0.2">
      <c r="A378" s="68" t="s">
        <v>8597</v>
      </c>
      <c r="B378" s="68" t="s">
        <v>8598</v>
      </c>
      <c r="C378" s="88">
        <v>256</v>
      </c>
      <c r="D378" s="73" t="s">
        <v>8599</v>
      </c>
      <c r="E378" s="165" t="s">
        <v>19</v>
      </c>
      <c r="F378" s="74">
        <v>43386</v>
      </c>
      <c r="G378" s="95"/>
      <c r="H378" s="63"/>
      <c r="I378" s="63"/>
      <c r="J378" s="63"/>
      <c r="K378" s="133"/>
      <c r="L378" s="63"/>
      <c r="M378" s="63"/>
      <c r="N378" s="63"/>
      <c r="O378" s="63"/>
      <c r="P378" s="63"/>
      <c r="Q378" s="63">
        <f t="shared" si="21"/>
        <v>0</v>
      </c>
      <c r="R378" s="63">
        <f t="shared" si="22"/>
        <v>0</v>
      </c>
      <c r="S378" s="63">
        <f t="shared" si="23"/>
        <v>0</v>
      </c>
    </row>
    <row r="379" spans="1:19" s="77" customFormat="1" ht="12" x14ac:dyDescent="0.2">
      <c r="A379" s="68" t="s">
        <v>8600</v>
      </c>
      <c r="B379" s="68" t="s">
        <v>8601</v>
      </c>
      <c r="C379" s="88">
        <v>257</v>
      </c>
      <c r="D379" s="73" t="s">
        <v>8602</v>
      </c>
      <c r="E379" s="165" t="s">
        <v>19</v>
      </c>
      <c r="F379" s="74">
        <v>43386</v>
      </c>
      <c r="G379" s="95">
        <v>133.22</v>
      </c>
      <c r="H379" s="63"/>
      <c r="I379" s="63"/>
      <c r="J379" s="63"/>
      <c r="K379" s="133"/>
      <c r="L379" s="63"/>
      <c r="M379" s="63"/>
      <c r="N379" s="63"/>
      <c r="O379" s="63"/>
      <c r="P379" s="63"/>
      <c r="Q379" s="63">
        <f t="shared" si="21"/>
        <v>133.22</v>
      </c>
      <c r="R379" s="63">
        <f t="shared" si="22"/>
        <v>0</v>
      </c>
      <c r="S379" s="63">
        <f t="shared" si="23"/>
        <v>133.22</v>
      </c>
    </row>
    <row r="380" spans="1:19" s="77" customFormat="1" ht="12" x14ac:dyDescent="0.2">
      <c r="A380" s="68" t="s">
        <v>8603</v>
      </c>
      <c r="B380" s="68" t="s">
        <v>8604</v>
      </c>
      <c r="C380" s="88">
        <v>258</v>
      </c>
      <c r="D380" s="73" t="s">
        <v>8605</v>
      </c>
      <c r="E380" s="165" t="s">
        <v>19</v>
      </c>
      <c r="F380" s="74">
        <v>43386</v>
      </c>
      <c r="G380" s="95"/>
      <c r="H380" s="63"/>
      <c r="I380" s="63"/>
      <c r="J380" s="63"/>
      <c r="K380" s="133"/>
      <c r="L380" s="63"/>
      <c r="M380" s="63"/>
      <c r="N380" s="63"/>
      <c r="O380" s="63"/>
      <c r="P380" s="63"/>
      <c r="Q380" s="63">
        <f t="shared" si="21"/>
        <v>0</v>
      </c>
      <c r="R380" s="63">
        <f t="shared" si="22"/>
        <v>0</v>
      </c>
      <c r="S380" s="63">
        <f t="shared" si="23"/>
        <v>0</v>
      </c>
    </row>
    <row r="381" spans="1:19" s="77" customFormat="1" ht="12" x14ac:dyDescent="0.2">
      <c r="A381" s="68" t="s">
        <v>8606</v>
      </c>
      <c r="B381" s="68" t="s">
        <v>8607</v>
      </c>
      <c r="C381" s="88">
        <v>259</v>
      </c>
      <c r="D381" s="73" t="s">
        <v>8608</v>
      </c>
      <c r="E381" s="165" t="s">
        <v>19</v>
      </c>
      <c r="F381" s="74">
        <v>43386</v>
      </c>
      <c r="G381" s="95">
        <f>337.48+26.85</f>
        <v>364.33000000000004</v>
      </c>
      <c r="H381" s="63"/>
      <c r="I381" s="63"/>
      <c r="J381" s="63"/>
      <c r="K381" s="133"/>
      <c r="L381" s="63"/>
      <c r="M381" s="63"/>
      <c r="N381" s="63"/>
      <c r="O381" s="63"/>
      <c r="P381" s="63"/>
      <c r="Q381" s="63">
        <f t="shared" si="21"/>
        <v>364.33000000000004</v>
      </c>
      <c r="R381" s="63">
        <f t="shared" si="22"/>
        <v>0</v>
      </c>
      <c r="S381" s="63">
        <f t="shared" si="23"/>
        <v>364.33000000000004</v>
      </c>
    </row>
    <row r="382" spans="1:19" s="77" customFormat="1" ht="12" x14ac:dyDescent="0.2">
      <c r="A382" s="68" t="s">
        <v>8609</v>
      </c>
      <c r="B382" s="68" t="s">
        <v>8610</v>
      </c>
      <c r="C382" s="88">
        <v>260</v>
      </c>
      <c r="D382" s="73" t="s">
        <v>8611</v>
      </c>
      <c r="E382" s="165" t="s">
        <v>19</v>
      </c>
      <c r="F382" s="74">
        <v>43387</v>
      </c>
      <c r="G382" s="95">
        <f>96.01+35</f>
        <v>131.01</v>
      </c>
      <c r="H382" s="63"/>
      <c r="I382" s="63"/>
      <c r="J382" s="63"/>
      <c r="K382" s="133"/>
      <c r="L382" s="63"/>
      <c r="M382" s="63"/>
      <c r="N382" s="63"/>
      <c r="O382" s="63"/>
      <c r="P382" s="63"/>
      <c r="Q382" s="63">
        <f t="shared" si="21"/>
        <v>131.01</v>
      </c>
      <c r="R382" s="63">
        <f t="shared" si="22"/>
        <v>0</v>
      </c>
      <c r="S382" s="63">
        <f t="shared" si="23"/>
        <v>131.01</v>
      </c>
    </row>
    <row r="383" spans="1:19" s="77" customFormat="1" ht="12" x14ac:dyDescent="0.2">
      <c r="A383" s="68" t="s">
        <v>8612</v>
      </c>
      <c r="B383" s="68" t="s">
        <v>8613</v>
      </c>
      <c r="C383" s="88">
        <v>261</v>
      </c>
      <c r="D383" s="73" t="s">
        <v>8614</v>
      </c>
      <c r="E383" s="165" t="s">
        <v>19</v>
      </c>
      <c r="F383" s="74">
        <v>43387</v>
      </c>
      <c r="G383" s="95"/>
      <c r="H383" s="63"/>
      <c r="I383" s="63"/>
      <c r="J383" s="63"/>
      <c r="K383" s="133"/>
      <c r="L383" s="63"/>
      <c r="M383" s="63"/>
      <c r="N383" s="63"/>
      <c r="O383" s="63"/>
      <c r="P383" s="63"/>
      <c r="Q383" s="63">
        <f t="shared" si="21"/>
        <v>0</v>
      </c>
      <c r="R383" s="63">
        <f t="shared" si="22"/>
        <v>0</v>
      </c>
      <c r="S383" s="63">
        <f t="shared" si="23"/>
        <v>0</v>
      </c>
    </row>
    <row r="384" spans="1:19" s="77" customFormat="1" ht="12" x14ac:dyDescent="0.2">
      <c r="A384" s="68" t="s">
        <v>8615</v>
      </c>
      <c r="B384" s="68" t="s">
        <v>8616</v>
      </c>
      <c r="C384" s="88">
        <v>262</v>
      </c>
      <c r="D384" s="73" t="s">
        <v>8617</v>
      </c>
      <c r="E384" s="165" t="s">
        <v>19</v>
      </c>
      <c r="F384" s="74">
        <v>43388</v>
      </c>
      <c r="G384" s="95">
        <v>251.45</v>
      </c>
      <c r="H384" s="63"/>
      <c r="I384" s="63"/>
      <c r="J384" s="63"/>
      <c r="K384" s="133"/>
      <c r="L384" s="63"/>
      <c r="M384" s="63"/>
      <c r="N384" s="63"/>
      <c r="O384" s="63"/>
      <c r="P384" s="63"/>
      <c r="Q384" s="63">
        <f t="shared" si="21"/>
        <v>251.45</v>
      </c>
      <c r="R384" s="63">
        <f t="shared" si="22"/>
        <v>0</v>
      </c>
      <c r="S384" s="63">
        <f t="shared" si="23"/>
        <v>251.45</v>
      </c>
    </row>
    <row r="385" spans="1:19" s="77" customFormat="1" ht="12" x14ac:dyDescent="0.2">
      <c r="A385" s="68" t="s">
        <v>8618</v>
      </c>
      <c r="B385" s="68" t="s">
        <v>8619</v>
      </c>
      <c r="C385" s="88">
        <v>263</v>
      </c>
      <c r="D385" s="73" t="s">
        <v>8620</v>
      </c>
      <c r="E385" s="165" t="s">
        <v>19</v>
      </c>
      <c r="F385" s="74">
        <v>43389</v>
      </c>
      <c r="G385" s="95">
        <f>184.08+35.16</f>
        <v>219.24</v>
      </c>
      <c r="H385" s="63"/>
      <c r="I385" s="63"/>
      <c r="J385" s="63"/>
      <c r="K385" s="133"/>
      <c r="L385" s="63"/>
      <c r="M385" s="63"/>
      <c r="N385" s="63"/>
      <c r="O385" s="63"/>
      <c r="P385" s="63"/>
      <c r="Q385" s="63">
        <f t="shared" si="21"/>
        <v>219.24</v>
      </c>
      <c r="R385" s="63">
        <f t="shared" si="22"/>
        <v>0</v>
      </c>
      <c r="S385" s="63">
        <f t="shared" si="23"/>
        <v>219.24</v>
      </c>
    </row>
    <row r="386" spans="1:19" s="77" customFormat="1" ht="12" x14ac:dyDescent="0.2">
      <c r="A386" s="68" t="s">
        <v>8621</v>
      </c>
      <c r="B386" s="68" t="s">
        <v>8622</v>
      </c>
      <c r="C386" s="88">
        <v>264</v>
      </c>
      <c r="D386" s="73" t="s">
        <v>8623</v>
      </c>
      <c r="E386" s="165" t="s">
        <v>19</v>
      </c>
      <c r="F386" s="74">
        <v>43390</v>
      </c>
      <c r="G386" s="95">
        <f>294+300+320.8</f>
        <v>914.8</v>
      </c>
      <c r="H386" s="63"/>
      <c r="I386" s="63">
        <v>620</v>
      </c>
      <c r="J386" s="63"/>
      <c r="K386" s="133"/>
      <c r="L386" s="63"/>
      <c r="M386" s="63"/>
      <c r="N386" s="63"/>
      <c r="O386" s="63"/>
      <c r="P386" s="63"/>
      <c r="Q386" s="63">
        <f t="shared" si="21"/>
        <v>1534.8</v>
      </c>
      <c r="R386" s="63">
        <f t="shared" si="22"/>
        <v>0</v>
      </c>
      <c r="S386" s="63">
        <f t="shared" si="23"/>
        <v>1534.8</v>
      </c>
    </row>
    <row r="387" spans="1:19" s="77" customFormat="1" ht="12" x14ac:dyDescent="0.2">
      <c r="A387" s="68" t="s">
        <v>8624</v>
      </c>
      <c r="B387" s="68" t="s">
        <v>8625</v>
      </c>
      <c r="C387" s="88">
        <v>265</v>
      </c>
      <c r="D387" s="73" t="s">
        <v>8626</v>
      </c>
      <c r="E387" s="165" t="s">
        <v>19</v>
      </c>
      <c r="F387" s="74">
        <v>43391</v>
      </c>
      <c r="G387" s="95">
        <v>40</v>
      </c>
      <c r="H387" s="63"/>
      <c r="I387" s="63"/>
      <c r="J387" s="63"/>
      <c r="K387" s="133"/>
      <c r="L387" s="63"/>
      <c r="M387" s="63"/>
      <c r="N387" s="63"/>
      <c r="O387" s="63"/>
      <c r="P387" s="63"/>
      <c r="Q387" s="63">
        <f t="shared" si="21"/>
        <v>40</v>
      </c>
      <c r="R387" s="63">
        <f t="shared" si="22"/>
        <v>0</v>
      </c>
      <c r="S387" s="63">
        <f t="shared" si="23"/>
        <v>40</v>
      </c>
    </row>
    <row r="388" spans="1:19" s="77" customFormat="1" ht="12" x14ac:dyDescent="0.2">
      <c r="A388" s="68" t="s">
        <v>8624</v>
      </c>
      <c r="B388" s="68" t="s">
        <v>8625</v>
      </c>
      <c r="C388" s="88">
        <v>265</v>
      </c>
      <c r="D388" s="73" t="s">
        <v>8627</v>
      </c>
      <c r="E388" s="165" t="s">
        <v>19</v>
      </c>
      <c r="F388" s="74">
        <v>43391</v>
      </c>
      <c r="G388" s="95">
        <v>40</v>
      </c>
      <c r="H388" s="63"/>
      <c r="I388" s="63"/>
      <c r="J388" s="63"/>
      <c r="K388" s="133"/>
      <c r="L388" s="63"/>
      <c r="M388" s="63"/>
      <c r="N388" s="63"/>
      <c r="O388" s="63"/>
      <c r="P388" s="63"/>
      <c r="Q388" s="63">
        <f t="shared" si="21"/>
        <v>40</v>
      </c>
      <c r="R388" s="63">
        <f t="shared" si="22"/>
        <v>0</v>
      </c>
      <c r="S388" s="63">
        <f t="shared" si="23"/>
        <v>40</v>
      </c>
    </row>
    <row r="389" spans="1:19" s="77" customFormat="1" ht="12" x14ac:dyDescent="0.2">
      <c r="A389" s="68" t="s">
        <v>8624</v>
      </c>
      <c r="B389" s="68" t="s">
        <v>8625</v>
      </c>
      <c r="C389" s="88">
        <v>265</v>
      </c>
      <c r="D389" s="73" t="s">
        <v>8628</v>
      </c>
      <c r="E389" s="165" t="s">
        <v>19</v>
      </c>
      <c r="F389" s="74">
        <v>43391</v>
      </c>
      <c r="G389" s="95">
        <v>40</v>
      </c>
      <c r="H389" s="63"/>
      <c r="I389" s="63"/>
      <c r="J389" s="63"/>
      <c r="K389" s="133"/>
      <c r="L389" s="63"/>
      <c r="M389" s="63"/>
      <c r="N389" s="63"/>
      <c r="O389" s="63"/>
      <c r="P389" s="63"/>
      <c r="Q389" s="63">
        <f t="shared" si="21"/>
        <v>40</v>
      </c>
      <c r="R389" s="63">
        <f t="shared" si="22"/>
        <v>0</v>
      </c>
      <c r="S389" s="63">
        <f t="shared" si="23"/>
        <v>40</v>
      </c>
    </row>
    <row r="390" spans="1:19" s="77" customFormat="1" ht="12" x14ac:dyDescent="0.2">
      <c r="A390" s="68" t="s">
        <v>8624</v>
      </c>
      <c r="B390" s="68" t="s">
        <v>8625</v>
      </c>
      <c r="C390" s="88">
        <v>265</v>
      </c>
      <c r="D390" s="73" t="s">
        <v>8629</v>
      </c>
      <c r="E390" s="165" t="s">
        <v>19</v>
      </c>
      <c r="F390" s="74">
        <v>43391</v>
      </c>
      <c r="G390" s="95">
        <v>40</v>
      </c>
      <c r="H390" s="63"/>
      <c r="I390" s="63"/>
      <c r="J390" s="63"/>
      <c r="K390" s="133"/>
      <c r="L390" s="63"/>
      <c r="M390" s="63"/>
      <c r="N390" s="63"/>
      <c r="O390" s="63"/>
      <c r="P390" s="63"/>
      <c r="Q390" s="63">
        <f t="shared" si="21"/>
        <v>40</v>
      </c>
      <c r="R390" s="63">
        <f t="shared" si="22"/>
        <v>0</v>
      </c>
      <c r="S390" s="63">
        <f t="shared" si="23"/>
        <v>40</v>
      </c>
    </row>
    <row r="391" spans="1:19" s="77" customFormat="1" ht="12" x14ac:dyDescent="0.2">
      <c r="A391" s="68" t="s">
        <v>8630</v>
      </c>
      <c r="B391" s="68" t="s">
        <v>8631</v>
      </c>
      <c r="C391" s="88">
        <v>266</v>
      </c>
      <c r="D391" s="73" t="s">
        <v>8632</v>
      </c>
      <c r="E391" s="165" t="s">
        <v>19</v>
      </c>
      <c r="F391" s="74">
        <v>43392</v>
      </c>
      <c r="G391" s="95">
        <v>92.04</v>
      </c>
      <c r="H391" s="63"/>
      <c r="I391" s="63"/>
      <c r="J391" s="63"/>
      <c r="K391" s="133"/>
      <c r="L391" s="63"/>
      <c r="M391" s="63"/>
      <c r="N391" s="63"/>
      <c r="O391" s="63"/>
      <c r="P391" s="63"/>
      <c r="Q391" s="63">
        <f t="shared" si="21"/>
        <v>92.04</v>
      </c>
      <c r="R391" s="63">
        <f t="shared" si="22"/>
        <v>0</v>
      </c>
      <c r="S391" s="63">
        <f t="shared" si="23"/>
        <v>92.04</v>
      </c>
    </row>
    <row r="392" spans="1:19" s="77" customFormat="1" ht="12" x14ac:dyDescent="0.2">
      <c r="A392" s="68" t="s">
        <v>8630</v>
      </c>
      <c r="B392" s="68" t="s">
        <v>8631</v>
      </c>
      <c r="C392" s="88">
        <v>266</v>
      </c>
      <c r="D392" s="73" t="s">
        <v>8633</v>
      </c>
      <c r="E392" s="165" t="s">
        <v>19</v>
      </c>
      <c r="F392" s="74">
        <v>43392</v>
      </c>
      <c r="G392" s="95">
        <v>77.709999999999994</v>
      </c>
      <c r="H392" s="63"/>
      <c r="I392" s="63"/>
      <c r="J392" s="63"/>
      <c r="K392" s="133"/>
      <c r="L392" s="63"/>
      <c r="M392" s="63"/>
      <c r="N392" s="63"/>
      <c r="O392" s="63"/>
      <c r="P392" s="63"/>
      <c r="Q392" s="63">
        <f t="shared" si="21"/>
        <v>77.709999999999994</v>
      </c>
      <c r="R392" s="63">
        <f t="shared" si="22"/>
        <v>0</v>
      </c>
      <c r="S392" s="63">
        <f t="shared" si="23"/>
        <v>77.709999999999994</v>
      </c>
    </row>
    <row r="393" spans="1:19" s="77" customFormat="1" ht="12" x14ac:dyDescent="0.2">
      <c r="A393" s="68" t="s">
        <v>8630</v>
      </c>
      <c r="B393" s="68" t="s">
        <v>8631</v>
      </c>
      <c r="C393" s="88">
        <v>266</v>
      </c>
      <c r="D393" s="73" t="s">
        <v>8667</v>
      </c>
      <c r="E393" s="165" t="s">
        <v>19</v>
      </c>
      <c r="F393" s="74">
        <v>43392</v>
      </c>
      <c r="G393" s="95">
        <v>95.33</v>
      </c>
      <c r="H393" s="63"/>
      <c r="I393" s="63"/>
      <c r="J393" s="63"/>
      <c r="K393" s="133"/>
      <c r="L393" s="63"/>
      <c r="M393" s="63"/>
      <c r="N393" s="63"/>
      <c r="O393" s="63"/>
      <c r="P393" s="63"/>
      <c r="Q393" s="63">
        <f>+G393+I393+K393+M393+O393</f>
        <v>95.33</v>
      </c>
      <c r="R393" s="63">
        <f>+H393+J393+L393+N393+P393</f>
        <v>0</v>
      </c>
      <c r="S393" s="63">
        <f>+Q393+R393</f>
        <v>95.33</v>
      </c>
    </row>
    <row r="394" spans="1:19" s="77" customFormat="1" ht="12" x14ac:dyDescent="0.2">
      <c r="A394" s="68" t="s">
        <v>8630</v>
      </c>
      <c r="B394" s="68" t="s">
        <v>8631</v>
      </c>
      <c r="C394" s="88">
        <v>266</v>
      </c>
      <c r="D394" s="73" t="s">
        <v>8634</v>
      </c>
      <c r="E394" s="165" t="s">
        <v>19</v>
      </c>
      <c r="F394" s="74">
        <v>43392</v>
      </c>
      <c r="G394" s="95">
        <v>120.93</v>
      </c>
      <c r="H394" s="63"/>
      <c r="I394" s="63"/>
      <c r="J394" s="63"/>
      <c r="K394" s="133"/>
      <c r="L394" s="63"/>
      <c r="M394" s="63"/>
      <c r="N394" s="63"/>
      <c r="O394" s="63"/>
      <c r="P394" s="63"/>
      <c r="Q394" s="63">
        <f t="shared" si="21"/>
        <v>120.93</v>
      </c>
      <c r="R394" s="63">
        <f t="shared" si="22"/>
        <v>0</v>
      </c>
      <c r="S394" s="63">
        <f t="shared" si="23"/>
        <v>120.93</v>
      </c>
    </row>
    <row r="395" spans="1:19" s="77" customFormat="1" ht="12" x14ac:dyDescent="0.2">
      <c r="A395" s="68" t="s">
        <v>8630</v>
      </c>
      <c r="B395" s="68" t="s">
        <v>8631</v>
      </c>
      <c r="C395" s="88">
        <v>266</v>
      </c>
      <c r="D395" s="73" t="s">
        <v>8635</v>
      </c>
      <c r="E395" s="165" t="s">
        <v>19</v>
      </c>
      <c r="F395" s="74">
        <v>43392</v>
      </c>
      <c r="G395" s="95">
        <f>199.31+148.28</f>
        <v>347.59000000000003</v>
      </c>
      <c r="H395" s="63"/>
      <c r="I395" s="63"/>
      <c r="J395" s="63"/>
      <c r="K395" s="133"/>
      <c r="L395" s="63"/>
      <c r="M395" s="63"/>
      <c r="N395" s="63"/>
      <c r="O395" s="63"/>
      <c r="P395" s="63"/>
      <c r="Q395" s="63">
        <f t="shared" si="21"/>
        <v>347.59000000000003</v>
      </c>
      <c r="R395" s="63">
        <f t="shared" si="22"/>
        <v>0</v>
      </c>
      <c r="S395" s="63">
        <f t="shared" si="23"/>
        <v>347.59000000000003</v>
      </c>
    </row>
    <row r="396" spans="1:19" s="77" customFormat="1" ht="12" x14ac:dyDescent="0.2">
      <c r="A396" s="68" t="s">
        <v>8636</v>
      </c>
      <c r="B396" s="68" t="s">
        <v>8637</v>
      </c>
      <c r="C396" s="88">
        <v>267</v>
      </c>
      <c r="D396" s="73" t="s">
        <v>8638</v>
      </c>
      <c r="E396" s="165" t="s">
        <v>19</v>
      </c>
      <c r="F396" s="74">
        <v>43394</v>
      </c>
      <c r="G396" s="95">
        <f>300+960+1281.6+391+57.4</f>
        <v>2990</v>
      </c>
      <c r="H396" s="63"/>
      <c r="I396" s="63"/>
      <c r="J396" s="63"/>
      <c r="K396" s="133"/>
      <c r="L396" s="63"/>
      <c r="M396" s="63">
        <v>4150</v>
      </c>
      <c r="N396" s="63"/>
      <c r="O396" s="63">
        <v>16600</v>
      </c>
      <c r="P396" s="63"/>
      <c r="Q396" s="63">
        <f t="shared" si="21"/>
        <v>23740</v>
      </c>
      <c r="R396" s="63">
        <f t="shared" si="22"/>
        <v>0</v>
      </c>
      <c r="S396" s="63">
        <f t="shared" si="23"/>
        <v>23740</v>
      </c>
    </row>
    <row r="397" spans="1:19" s="77" customFormat="1" ht="12" x14ac:dyDescent="0.2">
      <c r="A397" s="68" t="s">
        <v>8639</v>
      </c>
      <c r="B397" s="68" t="s">
        <v>8640</v>
      </c>
      <c r="C397" s="88">
        <v>268</v>
      </c>
      <c r="D397" s="73" t="s">
        <v>8641</v>
      </c>
      <c r="E397" s="165" t="s">
        <v>19</v>
      </c>
      <c r="F397" s="74">
        <v>43395</v>
      </c>
      <c r="G397" s="95">
        <v>85.42</v>
      </c>
      <c r="H397" s="63"/>
      <c r="I397" s="63"/>
      <c r="J397" s="63"/>
      <c r="K397" s="133"/>
      <c r="L397" s="63"/>
      <c r="M397" s="63"/>
      <c r="N397" s="63"/>
      <c r="O397" s="63"/>
      <c r="P397" s="63"/>
      <c r="Q397" s="63">
        <f t="shared" ref="Q397:Q444" si="24">+G397+I397+K397+M397+O397</f>
        <v>85.42</v>
      </c>
      <c r="R397" s="63">
        <f t="shared" ref="R397:R444" si="25">+H397+J397+L397+N397+P397</f>
        <v>0</v>
      </c>
      <c r="S397" s="63">
        <f t="shared" ref="S397:S444" si="26">+Q397+R397</f>
        <v>85.42</v>
      </c>
    </row>
    <row r="398" spans="1:19" s="77" customFormat="1" ht="12" x14ac:dyDescent="0.2">
      <c r="A398" s="68">
        <v>16007</v>
      </c>
      <c r="B398" s="68" t="s">
        <v>8642</v>
      </c>
      <c r="C398" s="88">
        <v>269</v>
      </c>
      <c r="D398" s="73" t="s">
        <v>8643</v>
      </c>
      <c r="E398" s="165" t="s">
        <v>19</v>
      </c>
      <c r="F398" s="74">
        <v>43397</v>
      </c>
      <c r="G398" s="95">
        <v>152.80000000000001</v>
      </c>
      <c r="H398" s="63"/>
      <c r="I398" s="63"/>
      <c r="J398" s="63"/>
      <c r="K398" s="133"/>
      <c r="L398" s="63"/>
      <c r="M398" s="63"/>
      <c r="N398" s="63"/>
      <c r="O398" s="63"/>
      <c r="P398" s="63"/>
      <c r="Q398" s="63">
        <f t="shared" si="24"/>
        <v>152.80000000000001</v>
      </c>
      <c r="R398" s="63">
        <f t="shared" si="25"/>
        <v>0</v>
      </c>
      <c r="S398" s="63">
        <f t="shared" si="26"/>
        <v>152.80000000000001</v>
      </c>
    </row>
    <row r="399" spans="1:19" s="77" customFormat="1" ht="12" x14ac:dyDescent="0.2">
      <c r="A399" s="68">
        <v>16007</v>
      </c>
      <c r="B399" s="68" t="s">
        <v>8642</v>
      </c>
      <c r="C399" s="88">
        <v>269</v>
      </c>
      <c r="D399" s="73" t="s">
        <v>8766</v>
      </c>
      <c r="E399" s="165" t="s">
        <v>19</v>
      </c>
      <c r="F399" s="74">
        <v>43397</v>
      </c>
      <c r="G399" s="95">
        <f>248.42+300</f>
        <v>548.41999999999996</v>
      </c>
      <c r="H399" s="63"/>
      <c r="I399" s="63"/>
      <c r="J399" s="63"/>
      <c r="K399" s="133"/>
      <c r="L399" s="63"/>
      <c r="M399" s="63"/>
      <c r="N399" s="63"/>
      <c r="O399" s="63"/>
      <c r="P399" s="63"/>
      <c r="Q399" s="63">
        <f t="shared" si="24"/>
        <v>548.41999999999996</v>
      </c>
      <c r="R399" s="63">
        <f t="shared" si="25"/>
        <v>0</v>
      </c>
      <c r="S399" s="63">
        <f t="shared" si="26"/>
        <v>548.41999999999996</v>
      </c>
    </row>
    <row r="400" spans="1:19" s="77" customFormat="1" ht="12" x14ac:dyDescent="0.2">
      <c r="A400" s="68" t="s">
        <v>8644</v>
      </c>
      <c r="B400" s="68" t="s">
        <v>8645</v>
      </c>
      <c r="C400" s="88">
        <v>270</v>
      </c>
      <c r="D400" s="73" t="s">
        <v>8646</v>
      </c>
      <c r="E400" s="165" t="s">
        <v>19</v>
      </c>
      <c r="F400" s="74">
        <v>43398</v>
      </c>
      <c r="G400" s="95">
        <f>168.42+238</f>
        <v>406.41999999999996</v>
      </c>
      <c r="H400" s="63"/>
      <c r="I400" s="63"/>
      <c r="J400" s="63"/>
      <c r="K400" s="133"/>
      <c r="L400" s="63"/>
      <c r="M400" s="63"/>
      <c r="N400" s="63"/>
      <c r="O400" s="63"/>
      <c r="P400" s="63"/>
      <c r="Q400" s="63">
        <f t="shared" si="24"/>
        <v>406.41999999999996</v>
      </c>
      <c r="R400" s="63">
        <f t="shared" si="25"/>
        <v>0</v>
      </c>
      <c r="S400" s="63">
        <f t="shared" si="26"/>
        <v>406.41999999999996</v>
      </c>
    </row>
    <row r="401" spans="1:19" s="77" customFormat="1" ht="12" x14ac:dyDescent="0.2">
      <c r="A401" s="68" t="s">
        <v>8647</v>
      </c>
      <c r="B401" s="68" t="s">
        <v>8648</v>
      </c>
      <c r="C401" s="88">
        <v>271</v>
      </c>
      <c r="D401" s="73" t="s">
        <v>8649</v>
      </c>
      <c r="E401" s="165" t="s">
        <v>19</v>
      </c>
      <c r="F401" s="74">
        <v>43399</v>
      </c>
      <c r="G401" s="95">
        <f>469.6+1048</f>
        <v>1517.6</v>
      </c>
      <c r="H401" s="63"/>
      <c r="I401" s="63"/>
      <c r="J401" s="63"/>
      <c r="K401" s="133"/>
      <c r="L401" s="63"/>
      <c r="M401" s="63"/>
      <c r="N401" s="63"/>
      <c r="O401" s="63"/>
      <c r="P401" s="63"/>
      <c r="Q401" s="63">
        <f t="shared" si="24"/>
        <v>1517.6</v>
      </c>
      <c r="R401" s="63">
        <f t="shared" si="25"/>
        <v>0</v>
      </c>
      <c r="S401" s="63">
        <f t="shared" si="26"/>
        <v>1517.6</v>
      </c>
    </row>
    <row r="402" spans="1:19" s="77" customFormat="1" ht="12" x14ac:dyDescent="0.2">
      <c r="A402" s="68" t="s">
        <v>8650</v>
      </c>
      <c r="B402" s="68" t="s">
        <v>8651</v>
      </c>
      <c r="C402" s="88">
        <v>272</v>
      </c>
      <c r="D402" s="73" t="s">
        <v>8652</v>
      </c>
      <c r="E402" s="165" t="s">
        <v>19</v>
      </c>
      <c r="F402" s="74">
        <v>43401</v>
      </c>
      <c r="G402" s="95">
        <v>126.71</v>
      </c>
      <c r="H402" s="63"/>
      <c r="I402" s="63"/>
      <c r="J402" s="63"/>
      <c r="K402" s="133"/>
      <c r="L402" s="63"/>
      <c r="M402" s="63"/>
      <c r="N402" s="63"/>
      <c r="O402" s="63"/>
      <c r="P402" s="63"/>
      <c r="Q402" s="63">
        <f t="shared" si="24"/>
        <v>126.71</v>
      </c>
      <c r="R402" s="63">
        <f t="shared" si="25"/>
        <v>0</v>
      </c>
      <c r="S402" s="63">
        <f t="shared" si="26"/>
        <v>126.71</v>
      </c>
    </row>
    <row r="403" spans="1:19" s="77" customFormat="1" ht="12" x14ac:dyDescent="0.2">
      <c r="A403" s="68" t="s">
        <v>8650</v>
      </c>
      <c r="B403" s="68" t="s">
        <v>8651</v>
      </c>
      <c r="C403" s="88">
        <v>272</v>
      </c>
      <c r="D403" s="73" t="s">
        <v>8653</v>
      </c>
      <c r="E403" s="165" t="s">
        <v>19</v>
      </c>
      <c r="F403" s="74">
        <v>43401</v>
      </c>
      <c r="G403" s="95">
        <v>122.38</v>
      </c>
      <c r="H403" s="63"/>
      <c r="I403" s="63"/>
      <c r="J403" s="63"/>
      <c r="K403" s="133"/>
      <c r="L403" s="63"/>
      <c r="M403" s="63"/>
      <c r="N403" s="63"/>
      <c r="O403" s="63"/>
      <c r="P403" s="63"/>
      <c r="Q403" s="63">
        <f t="shared" si="24"/>
        <v>122.38</v>
      </c>
      <c r="R403" s="63">
        <f t="shared" si="25"/>
        <v>0</v>
      </c>
      <c r="S403" s="63">
        <f t="shared" si="26"/>
        <v>122.38</v>
      </c>
    </row>
    <row r="404" spans="1:19" s="77" customFormat="1" ht="12" x14ac:dyDescent="0.2">
      <c r="A404" s="68" t="s">
        <v>8654</v>
      </c>
      <c r="B404" s="68" t="s">
        <v>7500</v>
      </c>
      <c r="C404" s="88">
        <v>273</v>
      </c>
      <c r="D404" s="73" t="s">
        <v>8655</v>
      </c>
      <c r="E404" s="165" t="s">
        <v>19</v>
      </c>
      <c r="F404" s="74">
        <v>43402</v>
      </c>
      <c r="G404" s="95">
        <f>587.3+49.8+800+111.39+81.1+70</f>
        <v>1699.59</v>
      </c>
      <c r="H404" s="63"/>
      <c r="I404" s="63">
        <v>1054</v>
      </c>
      <c r="J404" s="63"/>
      <c r="K404" s="133"/>
      <c r="L404" s="63"/>
      <c r="M404" s="63"/>
      <c r="N404" s="63"/>
      <c r="O404" s="63"/>
      <c r="P404" s="63"/>
      <c r="Q404" s="63">
        <f t="shared" si="24"/>
        <v>2753.59</v>
      </c>
      <c r="R404" s="63">
        <f t="shared" si="25"/>
        <v>0</v>
      </c>
      <c r="S404" s="63">
        <f t="shared" si="26"/>
        <v>2753.59</v>
      </c>
    </row>
    <row r="405" spans="1:19" s="77" customFormat="1" ht="12" x14ac:dyDescent="0.2">
      <c r="A405" s="68" t="s">
        <v>8654</v>
      </c>
      <c r="B405" s="68" t="s">
        <v>7500</v>
      </c>
      <c r="C405" s="88">
        <v>273</v>
      </c>
      <c r="D405" s="73" t="s">
        <v>8656</v>
      </c>
      <c r="E405" s="165" t="s">
        <v>19</v>
      </c>
      <c r="F405" s="74">
        <v>43402</v>
      </c>
      <c r="G405" s="95">
        <v>161</v>
      </c>
      <c r="H405" s="63"/>
      <c r="I405" s="63"/>
      <c r="J405" s="63"/>
      <c r="K405" s="133"/>
      <c r="L405" s="63"/>
      <c r="M405" s="63"/>
      <c r="N405" s="63"/>
      <c r="O405" s="63"/>
      <c r="P405" s="63"/>
      <c r="Q405" s="63">
        <f t="shared" si="24"/>
        <v>161</v>
      </c>
      <c r="R405" s="63">
        <f t="shared" si="25"/>
        <v>0</v>
      </c>
      <c r="S405" s="63">
        <f t="shared" si="26"/>
        <v>161</v>
      </c>
    </row>
    <row r="406" spans="1:19" s="77" customFormat="1" ht="12" x14ac:dyDescent="0.2">
      <c r="A406" s="68" t="s">
        <v>8657</v>
      </c>
      <c r="B406" s="68" t="s">
        <v>8658</v>
      </c>
      <c r="C406" s="88">
        <v>274</v>
      </c>
      <c r="D406" s="73" t="s">
        <v>8659</v>
      </c>
      <c r="E406" s="165" t="s">
        <v>19</v>
      </c>
      <c r="F406" s="74">
        <v>43403</v>
      </c>
      <c r="G406" s="95">
        <v>97.55</v>
      </c>
      <c r="H406" s="63"/>
      <c r="I406" s="63"/>
      <c r="J406" s="63"/>
      <c r="K406" s="133"/>
      <c r="L406" s="63"/>
      <c r="M406" s="63"/>
      <c r="N406" s="63"/>
      <c r="O406" s="63"/>
      <c r="P406" s="63"/>
      <c r="Q406" s="63">
        <f t="shared" si="24"/>
        <v>97.55</v>
      </c>
      <c r="R406" s="63">
        <f t="shared" si="25"/>
        <v>0</v>
      </c>
      <c r="S406" s="63">
        <f t="shared" si="26"/>
        <v>97.55</v>
      </c>
    </row>
    <row r="407" spans="1:19" s="77" customFormat="1" ht="12" x14ac:dyDescent="0.2">
      <c r="A407" s="68" t="s">
        <v>8657</v>
      </c>
      <c r="B407" s="68" t="s">
        <v>8658</v>
      </c>
      <c r="C407" s="88">
        <v>274</v>
      </c>
      <c r="D407" s="73" t="s">
        <v>8660</v>
      </c>
      <c r="E407" s="165" t="s">
        <v>19</v>
      </c>
      <c r="F407" s="74">
        <v>43403</v>
      </c>
      <c r="G407" s="95">
        <f>480.83+172.52+50</f>
        <v>703.35</v>
      </c>
      <c r="H407" s="63"/>
      <c r="I407" s="63">
        <v>1085</v>
      </c>
      <c r="J407" s="63"/>
      <c r="K407" s="133"/>
      <c r="L407" s="63"/>
      <c r="M407" s="63"/>
      <c r="N407" s="63"/>
      <c r="O407" s="63"/>
      <c r="P407" s="63"/>
      <c r="Q407" s="63">
        <f t="shared" si="24"/>
        <v>1788.35</v>
      </c>
      <c r="R407" s="63">
        <f t="shared" si="25"/>
        <v>0</v>
      </c>
      <c r="S407" s="63">
        <f t="shared" si="26"/>
        <v>1788.35</v>
      </c>
    </row>
    <row r="408" spans="1:19" s="77" customFormat="1" ht="12" x14ac:dyDescent="0.2">
      <c r="A408" s="68" t="s">
        <v>8661</v>
      </c>
      <c r="B408" s="68" t="s">
        <v>3880</v>
      </c>
      <c r="C408" s="88">
        <v>275</v>
      </c>
      <c r="D408" s="73" t="s">
        <v>8662</v>
      </c>
      <c r="E408" s="165" t="s">
        <v>19</v>
      </c>
      <c r="F408" s="74">
        <v>43404</v>
      </c>
      <c r="G408" s="95">
        <f>202.96+2.83</f>
        <v>205.79000000000002</v>
      </c>
      <c r="H408" s="63"/>
      <c r="I408" s="63"/>
      <c r="J408" s="63"/>
      <c r="K408" s="133"/>
      <c r="L408" s="63"/>
      <c r="M408" s="63"/>
      <c r="N408" s="63"/>
      <c r="O408" s="63"/>
      <c r="P408" s="63"/>
      <c r="Q408" s="63">
        <f t="shared" si="24"/>
        <v>205.79000000000002</v>
      </c>
      <c r="R408" s="63">
        <f t="shared" si="25"/>
        <v>0</v>
      </c>
      <c r="S408" s="63">
        <f t="shared" si="26"/>
        <v>205.79000000000002</v>
      </c>
    </row>
    <row r="409" spans="1:19" s="77" customFormat="1" ht="12" x14ac:dyDescent="0.2">
      <c r="A409" s="68" t="s">
        <v>8661</v>
      </c>
      <c r="B409" s="68" t="s">
        <v>3880</v>
      </c>
      <c r="C409" s="88">
        <v>275</v>
      </c>
      <c r="D409" s="73" t="s">
        <v>8663</v>
      </c>
      <c r="E409" s="165" t="s">
        <v>19</v>
      </c>
      <c r="F409" s="74">
        <v>43404</v>
      </c>
      <c r="G409" s="95">
        <f>152.22+2.83</f>
        <v>155.05000000000001</v>
      </c>
      <c r="H409" s="63"/>
      <c r="I409" s="63"/>
      <c r="J409" s="63"/>
      <c r="K409" s="133"/>
      <c r="L409" s="63"/>
      <c r="M409" s="63"/>
      <c r="N409" s="63"/>
      <c r="O409" s="63"/>
      <c r="P409" s="63"/>
      <c r="Q409" s="63">
        <f t="shared" si="24"/>
        <v>155.05000000000001</v>
      </c>
      <c r="R409" s="63">
        <f t="shared" si="25"/>
        <v>0</v>
      </c>
      <c r="S409" s="63">
        <f t="shared" si="26"/>
        <v>155.05000000000001</v>
      </c>
    </row>
    <row r="410" spans="1:19" s="77" customFormat="1" ht="12" x14ac:dyDescent="0.2">
      <c r="A410" s="68" t="s">
        <v>8691</v>
      </c>
      <c r="B410" s="68" t="s">
        <v>8665</v>
      </c>
      <c r="C410" s="88">
        <v>276</v>
      </c>
      <c r="D410" s="73" t="s">
        <v>8664</v>
      </c>
      <c r="E410" s="165" t="s">
        <v>19</v>
      </c>
      <c r="F410" s="74">
        <v>43404</v>
      </c>
      <c r="G410" s="95"/>
      <c r="H410" s="63"/>
      <c r="I410" s="63">
        <v>2511</v>
      </c>
      <c r="J410" s="63"/>
      <c r="K410" s="133"/>
      <c r="L410" s="63"/>
      <c r="M410" s="63"/>
      <c r="N410" s="63"/>
      <c r="O410" s="63"/>
      <c r="P410" s="63"/>
      <c r="Q410" s="63">
        <f t="shared" si="24"/>
        <v>2511</v>
      </c>
      <c r="R410" s="63">
        <f t="shared" si="25"/>
        <v>0</v>
      </c>
      <c r="S410" s="63">
        <f t="shared" si="26"/>
        <v>2511</v>
      </c>
    </row>
    <row r="411" spans="1:19" s="77" customFormat="1" ht="12" x14ac:dyDescent="0.2">
      <c r="A411" s="68" t="s">
        <v>8692</v>
      </c>
      <c r="B411" s="68" t="s">
        <v>8693</v>
      </c>
      <c r="C411" s="88">
        <v>277</v>
      </c>
      <c r="D411" s="73" t="s">
        <v>8694</v>
      </c>
      <c r="E411" s="165" t="s">
        <v>19</v>
      </c>
      <c r="F411" s="74">
        <v>43407</v>
      </c>
      <c r="G411" s="95">
        <v>176.83</v>
      </c>
      <c r="H411" s="63"/>
      <c r="I411" s="63"/>
      <c r="J411" s="63"/>
      <c r="K411" s="133"/>
      <c r="L411" s="63"/>
      <c r="M411" s="63"/>
      <c r="N411" s="63"/>
      <c r="O411" s="63"/>
      <c r="P411" s="63"/>
      <c r="Q411" s="63">
        <f t="shared" si="24"/>
        <v>176.83</v>
      </c>
      <c r="R411" s="63">
        <f t="shared" si="25"/>
        <v>0</v>
      </c>
      <c r="S411" s="63">
        <f t="shared" si="26"/>
        <v>176.83</v>
      </c>
    </row>
    <row r="412" spans="1:19" s="77" customFormat="1" ht="12" x14ac:dyDescent="0.2">
      <c r="A412" s="68" t="s">
        <v>8695</v>
      </c>
      <c r="B412" s="68" t="s">
        <v>8696</v>
      </c>
      <c r="C412" s="88">
        <v>278</v>
      </c>
      <c r="D412" s="73" t="s">
        <v>8697</v>
      </c>
      <c r="E412" s="165" t="s">
        <v>19</v>
      </c>
      <c r="F412" s="74">
        <v>43407</v>
      </c>
      <c r="G412" s="95"/>
      <c r="H412" s="63"/>
      <c r="I412" s="63"/>
      <c r="J412" s="63"/>
      <c r="K412" s="133"/>
      <c r="L412" s="63"/>
      <c r="M412" s="63"/>
      <c r="N412" s="63"/>
      <c r="O412" s="63"/>
      <c r="P412" s="63"/>
      <c r="Q412" s="63">
        <f t="shared" si="24"/>
        <v>0</v>
      </c>
      <c r="R412" s="63">
        <f t="shared" si="25"/>
        <v>0</v>
      </c>
      <c r="S412" s="63">
        <f t="shared" si="26"/>
        <v>0</v>
      </c>
    </row>
    <row r="413" spans="1:19" s="77" customFormat="1" ht="12" x14ac:dyDescent="0.2">
      <c r="A413" s="68" t="s">
        <v>8698</v>
      </c>
      <c r="B413" s="68" t="s">
        <v>7571</v>
      </c>
      <c r="C413" s="88">
        <v>279</v>
      </c>
      <c r="D413" s="73" t="s">
        <v>8699</v>
      </c>
      <c r="E413" s="165" t="s">
        <v>19</v>
      </c>
      <c r="F413" s="74">
        <v>43408</v>
      </c>
      <c r="G413" s="95">
        <f>443+20279.36</f>
        <v>20722.36</v>
      </c>
      <c r="H413" s="63"/>
      <c r="I413" s="63"/>
      <c r="J413" s="63"/>
      <c r="K413" s="133"/>
      <c r="L413" s="63"/>
      <c r="M413" s="63"/>
      <c r="N413" s="63"/>
      <c r="O413" s="63"/>
      <c r="P413" s="63"/>
      <c r="Q413" s="63">
        <f t="shared" si="24"/>
        <v>20722.36</v>
      </c>
      <c r="R413" s="63">
        <f t="shared" si="25"/>
        <v>0</v>
      </c>
      <c r="S413" s="63">
        <f t="shared" si="26"/>
        <v>20722.36</v>
      </c>
    </row>
    <row r="414" spans="1:19" s="77" customFormat="1" ht="12" x14ac:dyDescent="0.2">
      <c r="A414" s="68" t="s">
        <v>8700</v>
      </c>
      <c r="B414" s="68" t="s">
        <v>8701</v>
      </c>
      <c r="C414" s="88">
        <v>280</v>
      </c>
      <c r="D414" s="73" t="s">
        <v>8702</v>
      </c>
      <c r="E414" s="165" t="s">
        <v>19</v>
      </c>
      <c r="F414" s="74">
        <v>43410</v>
      </c>
      <c r="G414" s="95">
        <v>112.42</v>
      </c>
      <c r="H414" s="63"/>
      <c r="I414" s="63"/>
      <c r="J414" s="63"/>
      <c r="K414" s="133"/>
      <c r="L414" s="63"/>
      <c r="M414" s="63"/>
      <c r="N414" s="63"/>
      <c r="O414" s="63"/>
      <c r="P414" s="63"/>
      <c r="Q414" s="63">
        <f t="shared" si="24"/>
        <v>112.42</v>
      </c>
      <c r="R414" s="63">
        <f t="shared" si="25"/>
        <v>0</v>
      </c>
      <c r="S414" s="63">
        <f t="shared" si="26"/>
        <v>112.42</v>
      </c>
    </row>
    <row r="415" spans="1:19" s="77" customFormat="1" ht="12" x14ac:dyDescent="0.2">
      <c r="A415" s="68" t="s">
        <v>8700</v>
      </c>
      <c r="B415" s="68" t="s">
        <v>8701</v>
      </c>
      <c r="C415" s="88">
        <v>280</v>
      </c>
      <c r="D415" s="73" t="s">
        <v>8703</v>
      </c>
      <c r="E415" s="165" t="s">
        <v>19</v>
      </c>
      <c r="F415" s="74">
        <v>43410</v>
      </c>
      <c r="G415" s="95"/>
      <c r="H415" s="63"/>
      <c r="I415" s="63"/>
      <c r="J415" s="63"/>
      <c r="K415" s="133"/>
      <c r="L415" s="63"/>
      <c r="M415" s="63"/>
      <c r="N415" s="63"/>
      <c r="O415" s="63"/>
      <c r="P415" s="63"/>
      <c r="Q415" s="63">
        <f t="shared" si="24"/>
        <v>0</v>
      </c>
      <c r="R415" s="63">
        <f t="shared" si="25"/>
        <v>0</v>
      </c>
      <c r="S415" s="63">
        <f t="shared" si="26"/>
        <v>0</v>
      </c>
    </row>
    <row r="416" spans="1:19" s="77" customFormat="1" ht="12" x14ac:dyDescent="0.2">
      <c r="A416" s="68" t="s">
        <v>8704</v>
      </c>
      <c r="B416" s="68" t="s">
        <v>8705</v>
      </c>
      <c r="C416" s="88">
        <v>281</v>
      </c>
      <c r="D416" s="73" t="s">
        <v>8706</v>
      </c>
      <c r="E416" s="165" t="s">
        <v>19</v>
      </c>
      <c r="F416" s="74">
        <v>43410</v>
      </c>
      <c r="G416" s="95"/>
      <c r="H416" s="63"/>
      <c r="I416" s="63"/>
      <c r="J416" s="63"/>
      <c r="K416" s="133"/>
      <c r="L416" s="63"/>
      <c r="M416" s="63">
        <v>4150</v>
      </c>
      <c r="N416" s="63"/>
      <c r="O416" s="63">
        <v>16600</v>
      </c>
      <c r="P416" s="63"/>
      <c r="Q416" s="63">
        <f t="shared" si="24"/>
        <v>20750</v>
      </c>
      <c r="R416" s="63">
        <f t="shared" si="25"/>
        <v>0</v>
      </c>
      <c r="S416" s="63">
        <f t="shared" si="26"/>
        <v>20750</v>
      </c>
    </row>
    <row r="417" spans="1:19" s="77" customFormat="1" ht="12" x14ac:dyDescent="0.2">
      <c r="A417" s="68" t="s">
        <v>8707</v>
      </c>
      <c r="B417" s="68" t="s">
        <v>8708</v>
      </c>
      <c r="C417" s="88">
        <v>282</v>
      </c>
      <c r="D417" s="73" t="s">
        <v>8709</v>
      </c>
      <c r="E417" s="165" t="s">
        <v>19</v>
      </c>
      <c r="F417" s="74">
        <v>43411</v>
      </c>
      <c r="G417" s="95">
        <v>215</v>
      </c>
      <c r="H417" s="63"/>
      <c r="I417" s="63"/>
      <c r="J417" s="63"/>
      <c r="K417" s="133"/>
      <c r="L417" s="63"/>
      <c r="M417" s="63"/>
      <c r="N417" s="63"/>
      <c r="O417" s="63"/>
      <c r="P417" s="63"/>
      <c r="Q417" s="63">
        <f t="shared" si="24"/>
        <v>215</v>
      </c>
      <c r="R417" s="63">
        <f t="shared" si="25"/>
        <v>0</v>
      </c>
      <c r="S417" s="63">
        <f t="shared" si="26"/>
        <v>215</v>
      </c>
    </row>
    <row r="418" spans="1:19" s="77" customFormat="1" ht="12" x14ac:dyDescent="0.2">
      <c r="A418" s="68" t="s">
        <v>8710</v>
      </c>
      <c r="B418" s="68" t="s">
        <v>8711</v>
      </c>
      <c r="C418" s="88">
        <v>283</v>
      </c>
      <c r="D418" s="73" t="s">
        <v>8712</v>
      </c>
      <c r="E418" s="165" t="s">
        <v>19</v>
      </c>
      <c r="F418" s="74">
        <v>43411</v>
      </c>
      <c r="G418" s="95"/>
      <c r="H418" s="63"/>
      <c r="I418" s="63"/>
      <c r="J418" s="63"/>
      <c r="K418" s="133"/>
      <c r="L418" s="63"/>
      <c r="M418" s="63"/>
      <c r="N418" s="63"/>
      <c r="O418" s="63"/>
      <c r="P418" s="63"/>
      <c r="Q418" s="63">
        <f t="shared" si="24"/>
        <v>0</v>
      </c>
      <c r="R418" s="63">
        <f t="shared" si="25"/>
        <v>0</v>
      </c>
      <c r="S418" s="63">
        <f t="shared" si="26"/>
        <v>0</v>
      </c>
    </row>
    <row r="419" spans="1:19" s="77" customFormat="1" ht="12" x14ac:dyDescent="0.2">
      <c r="A419" s="68" t="s">
        <v>8713</v>
      </c>
      <c r="B419" s="68" t="s">
        <v>8714</v>
      </c>
      <c r="C419" s="88">
        <v>284</v>
      </c>
      <c r="D419" s="73" t="s">
        <v>8715</v>
      </c>
      <c r="E419" s="165" t="s">
        <v>19</v>
      </c>
      <c r="F419" s="74">
        <v>43412</v>
      </c>
      <c r="G419" s="95">
        <f>550.59+238+238+238+238+70</f>
        <v>1572.5900000000001</v>
      </c>
      <c r="H419" s="63"/>
      <c r="I419" s="63"/>
      <c r="J419" s="63"/>
      <c r="K419" s="133"/>
      <c r="L419" s="63"/>
      <c r="M419" s="63"/>
      <c r="N419" s="63"/>
      <c r="O419" s="63"/>
      <c r="P419" s="63"/>
      <c r="Q419" s="63">
        <f t="shared" si="24"/>
        <v>1572.5900000000001</v>
      </c>
      <c r="R419" s="63">
        <f t="shared" si="25"/>
        <v>0</v>
      </c>
      <c r="S419" s="63">
        <f t="shared" si="26"/>
        <v>1572.5900000000001</v>
      </c>
    </row>
    <row r="420" spans="1:19" s="77" customFormat="1" ht="12" x14ac:dyDescent="0.2">
      <c r="A420" s="68" t="s">
        <v>8716</v>
      </c>
      <c r="B420" s="68" t="s">
        <v>8717</v>
      </c>
      <c r="C420" s="88">
        <v>285</v>
      </c>
      <c r="D420" s="73" t="s">
        <v>8077</v>
      </c>
      <c r="E420" s="165" t="s">
        <v>5724</v>
      </c>
      <c r="F420" s="74">
        <v>43414</v>
      </c>
      <c r="G420" s="95">
        <f>97+4</f>
        <v>101</v>
      </c>
      <c r="H420" s="63"/>
      <c r="I420" s="63"/>
      <c r="J420" s="63"/>
      <c r="K420" s="133"/>
      <c r="L420" s="63"/>
      <c r="M420" s="63"/>
      <c r="N420" s="63"/>
      <c r="O420" s="63"/>
      <c r="P420" s="63"/>
      <c r="Q420" s="63">
        <f t="shared" si="24"/>
        <v>101</v>
      </c>
      <c r="R420" s="63">
        <f t="shared" si="25"/>
        <v>0</v>
      </c>
      <c r="S420" s="63">
        <f t="shared" si="26"/>
        <v>101</v>
      </c>
    </row>
    <row r="421" spans="1:19" s="77" customFormat="1" ht="12" x14ac:dyDescent="0.2">
      <c r="A421" s="68" t="s">
        <v>8716</v>
      </c>
      <c r="B421" s="68" t="s">
        <v>8717</v>
      </c>
      <c r="C421" s="88">
        <v>285</v>
      </c>
      <c r="D421" s="73" t="s">
        <v>8718</v>
      </c>
      <c r="E421" s="165" t="s">
        <v>5724</v>
      </c>
      <c r="F421" s="74">
        <v>43414</v>
      </c>
      <c r="G421" s="95">
        <f>134+30.5</f>
        <v>164.5</v>
      </c>
      <c r="H421" s="63"/>
      <c r="I421" s="63"/>
      <c r="J421" s="63"/>
      <c r="K421" s="133"/>
      <c r="L421" s="63"/>
      <c r="M421" s="63"/>
      <c r="N421" s="63"/>
      <c r="O421" s="63"/>
      <c r="P421" s="63"/>
      <c r="Q421" s="63">
        <f t="shared" si="24"/>
        <v>164.5</v>
      </c>
      <c r="R421" s="63">
        <f t="shared" si="25"/>
        <v>0</v>
      </c>
      <c r="S421" s="63">
        <f t="shared" si="26"/>
        <v>164.5</v>
      </c>
    </row>
    <row r="422" spans="1:19" s="77" customFormat="1" ht="12" x14ac:dyDescent="0.2">
      <c r="A422" s="68">
        <v>17204</v>
      </c>
      <c r="B422" s="68" t="s">
        <v>8719</v>
      </c>
      <c r="C422" s="88">
        <v>286</v>
      </c>
      <c r="D422" s="73" t="s">
        <v>8720</v>
      </c>
      <c r="E422" s="165" t="s">
        <v>3721</v>
      </c>
      <c r="F422" s="74">
        <v>43414</v>
      </c>
      <c r="G422" s="95">
        <f>328+400+164+119.98+56.4+82.32+164+296.18+17.7+56.4+112.8+164+40.1+164+112.8+112.8+225.6</f>
        <v>2617.0800000000004</v>
      </c>
      <c r="H422" s="63"/>
      <c r="I422" s="63">
        <f>310+1581+930+930+399</f>
        <v>4150</v>
      </c>
      <c r="J422" s="63"/>
      <c r="K422" s="133"/>
      <c r="L422" s="63"/>
      <c r="M422" s="63"/>
      <c r="N422" s="63"/>
      <c r="O422" s="63"/>
      <c r="P422" s="63"/>
      <c r="Q422" s="63">
        <f t="shared" si="24"/>
        <v>6767.08</v>
      </c>
      <c r="R422" s="63">
        <f t="shared" si="25"/>
        <v>0</v>
      </c>
      <c r="S422" s="63">
        <f t="shared" si="26"/>
        <v>6767.08</v>
      </c>
    </row>
    <row r="423" spans="1:19" s="77" customFormat="1" ht="12" x14ac:dyDescent="0.2">
      <c r="A423" s="68" t="s">
        <v>8721</v>
      </c>
      <c r="B423" s="68" t="s">
        <v>8722</v>
      </c>
      <c r="C423" s="88">
        <v>287</v>
      </c>
      <c r="D423" s="73" t="s">
        <v>8723</v>
      </c>
      <c r="E423" s="165" t="s">
        <v>3721</v>
      </c>
      <c r="F423" s="74">
        <v>43417</v>
      </c>
      <c r="G423" s="95">
        <f>480+110.55+618.18+2730.21+59+59+205+295</f>
        <v>4556.9400000000005</v>
      </c>
      <c r="H423" s="63"/>
      <c r="I423" s="63">
        <v>3720</v>
      </c>
      <c r="J423" s="63"/>
      <c r="K423" s="133"/>
      <c r="L423" s="63"/>
      <c r="M423" s="63"/>
      <c r="N423" s="63"/>
      <c r="O423" s="63"/>
      <c r="P423" s="63"/>
      <c r="Q423" s="63">
        <f t="shared" si="24"/>
        <v>8276.94</v>
      </c>
      <c r="R423" s="63">
        <f t="shared" si="25"/>
        <v>0</v>
      </c>
      <c r="S423" s="63">
        <f t="shared" si="26"/>
        <v>8276.94</v>
      </c>
    </row>
    <row r="424" spans="1:19" s="77" customFormat="1" ht="12" x14ac:dyDescent="0.2">
      <c r="A424" s="68">
        <v>14362</v>
      </c>
      <c r="B424" s="68" t="s">
        <v>8724</v>
      </c>
      <c r="C424" s="88">
        <v>288</v>
      </c>
      <c r="D424" s="73" t="s">
        <v>8725</v>
      </c>
      <c r="E424" s="165" t="s">
        <v>3721</v>
      </c>
      <c r="F424" s="74">
        <v>43417</v>
      </c>
      <c r="G424" s="95">
        <f>240+41.3+71.01+41.3+41.3</f>
        <v>434.91</v>
      </c>
      <c r="H424" s="63"/>
      <c r="I424" s="63"/>
      <c r="J424" s="63"/>
      <c r="K424" s="133"/>
      <c r="L424" s="63"/>
      <c r="M424" s="63"/>
      <c r="N424" s="63"/>
      <c r="O424" s="63"/>
      <c r="P424" s="63"/>
      <c r="Q424" s="63">
        <f t="shared" si="24"/>
        <v>434.91</v>
      </c>
      <c r="R424" s="63">
        <f t="shared" si="25"/>
        <v>0</v>
      </c>
      <c r="S424" s="63">
        <f t="shared" si="26"/>
        <v>434.91</v>
      </c>
    </row>
    <row r="425" spans="1:19" s="77" customFormat="1" ht="12" x14ac:dyDescent="0.2">
      <c r="A425" s="68">
        <v>14362</v>
      </c>
      <c r="B425" s="68" t="s">
        <v>8724</v>
      </c>
      <c r="C425" s="88">
        <v>288</v>
      </c>
      <c r="D425" s="73" t="s">
        <v>8726</v>
      </c>
      <c r="E425" s="165" t="s">
        <v>3721</v>
      </c>
      <c r="F425" s="74">
        <v>43417</v>
      </c>
      <c r="G425" s="95">
        <f>204.75+111.9</f>
        <v>316.64999999999998</v>
      </c>
      <c r="H425" s="63"/>
      <c r="I425" s="63">
        <v>310</v>
      </c>
      <c r="J425" s="63"/>
      <c r="K425" s="133"/>
      <c r="L425" s="63"/>
      <c r="M425" s="63"/>
      <c r="N425" s="63"/>
      <c r="O425" s="63"/>
      <c r="P425" s="63"/>
      <c r="Q425" s="63">
        <f t="shared" si="24"/>
        <v>626.65</v>
      </c>
      <c r="R425" s="63">
        <f t="shared" si="25"/>
        <v>0</v>
      </c>
      <c r="S425" s="63">
        <f t="shared" si="26"/>
        <v>626.65</v>
      </c>
    </row>
    <row r="426" spans="1:19" s="77" customFormat="1" ht="12" x14ac:dyDescent="0.2">
      <c r="A426" s="68">
        <v>13144</v>
      </c>
      <c r="B426" s="68" t="s">
        <v>8727</v>
      </c>
      <c r="C426" s="88">
        <v>289</v>
      </c>
      <c r="D426" s="73" t="s">
        <v>8728</v>
      </c>
      <c r="E426" s="165" t="s">
        <v>3721</v>
      </c>
      <c r="F426" s="74">
        <v>43418</v>
      </c>
      <c r="G426" s="95">
        <f>59+293.5</f>
        <v>352.5</v>
      </c>
      <c r="H426" s="63"/>
      <c r="I426" s="63">
        <v>930</v>
      </c>
      <c r="J426" s="63"/>
      <c r="K426" s="133"/>
      <c r="L426" s="63"/>
      <c r="M426" s="63"/>
      <c r="N426" s="63"/>
      <c r="O426" s="63"/>
      <c r="P426" s="63"/>
      <c r="Q426" s="63">
        <f t="shared" si="24"/>
        <v>1282.5</v>
      </c>
      <c r="R426" s="63">
        <f t="shared" si="25"/>
        <v>0</v>
      </c>
      <c r="S426" s="63">
        <f t="shared" si="26"/>
        <v>1282.5</v>
      </c>
    </row>
    <row r="427" spans="1:19" s="77" customFormat="1" ht="12" x14ac:dyDescent="0.2">
      <c r="A427" s="68">
        <v>13389</v>
      </c>
      <c r="B427" s="68" t="s">
        <v>8729</v>
      </c>
      <c r="C427" s="88">
        <v>290</v>
      </c>
      <c r="D427" s="73" t="s">
        <v>8730</v>
      </c>
      <c r="E427" s="165" t="s">
        <v>3721</v>
      </c>
      <c r="F427" s="74">
        <v>43418</v>
      </c>
      <c r="G427" s="95">
        <v>70</v>
      </c>
      <c r="H427" s="63"/>
      <c r="I427" s="63"/>
      <c r="J427" s="63"/>
      <c r="K427" s="133"/>
      <c r="L427" s="63"/>
      <c r="M427" s="63"/>
      <c r="N427" s="63"/>
      <c r="O427" s="63"/>
      <c r="P427" s="63"/>
      <c r="Q427" s="63">
        <f t="shared" si="24"/>
        <v>70</v>
      </c>
      <c r="R427" s="63">
        <f t="shared" si="25"/>
        <v>0</v>
      </c>
      <c r="S427" s="63">
        <f t="shared" si="26"/>
        <v>70</v>
      </c>
    </row>
    <row r="428" spans="1:19" s="77" customFormat="1" ht="12" x14ac:dyDescent="0.2">
      <c r="A428" s="68" t="s">
        <v>8731</v>
      </c>
      <c r="B428" s="68" t="s">
        <v>8732</v>
      </c>
      <c r="C428" s="88">
        <v>291</v>
      </c>
      <c r="D428" s="73" t="s">
        <v>8733</v>
      </c>
      <c r="E428" s="165" t="s">
        <v>3721</v>
      </c>
      <c r="F428" s="74">
        <v>43418</v>
      </c>
      <c r="G428" s="95">
        <v>163.15</v>
      </c>
      <c r="H428" s="63"/>
      <c r="I428" s="63"/>
      <c r="J428" s="63"/>
      <c r="K428" s="133"/>
      <c r="L428" s="63"/>
      <c r="M428" s="63"/>
      <c r="N428" s="63"/>
      <c r="O428" s="63"/>
      <c r="P428" s="63"/>
      <c r="Q428" s="63">
        <f t="shared" si="24"/>
        <v>163.15</v>
      </c>
      <c r="R428" s="63">
        <f t="shared" si="25"/>
        <v>0</v>
      </c>
      <c r="S428" s="63">
        <f t="shared" si="26"/>
        <v>163.15</v>
      </c>
    </row>
    <row r="429" spans="1:19" s="77" customFormat="1" ht="12" x14ac:dyDescent="0.2">
      <c r="A429" s="68" t="s">
        <v>8731</v>
      </c>
      <c r="B429" s="68" t="s">
        <v>8732</v>
      </c>
      <c r="C429" s="88">
        <v>291</v>
      </c>
      <c r="D429" s="73" t="s">
        <v>8734</v>
      </c>
      <c r="E429" s="165" t="s">
        <v>3721</v>
      </c>
      <c r="F429" s="74">
        <v>43418</v>
      </c>
      <c r="G429" s="95">
        <f>362.37+800</f>
        <v>1162.3699999999999</v>
      </c>
      <c r="H429" s="63"/>
      <c r="I429" s="63"/>
      <c r="J429" s="63"/>
      <c r="K429" s="133"/>
      <c r="L429" s="63"/>
      <c r="M429" s="63"/>
      <c r="N429" s="63"/>
      <c r="O429" s="63"/>
      <c r="P429" s="63"/>
      <c r="Q429" s="63">
        <f t="shared" si="24"/>
        <v>1162.3699999999999</v>
      </c>
      <c r="R429" s="63">
        <f t="shared" si="25"/>
        <v>0</v>
      </c>
      <c r="S429" s="63">
        <f t="shared" si="26"/>
        <v>1162.3699999999999</v>
      </c>
    </row>
    <row r="430" spans="1:19" s="77" customFormat="1" ht="12" x14ac:dyDescent="0.2">
      <c r="A430" s="68">
        <v>17106</v>
      </c>
      <c r="B430" s="68" t="s">
        <v>8735</v>
      </c>
      <c r="C430" s="88">
        <v>292</v>
      </c>
      <c r="D430" s="73" t="s">
        <v>8736</v>
      </c>
      <c r="E430" s="165" t="s">
        <v>3721</v>
      </c>
      <c r="F430" s="74">
        <v>43420</v>
      </c>
      <c r="G430" s="95">
        <v>96.42</v>
      </c>
      <c r="H430" s="63"/>
      <c r="I430" s="63"/>
      <c r="J430" s="63"/>
      <c r="K430" s="133"/>
      <c r="L430" s="63"/>
      <c r="M430" s="63"/>
      <c r="N430" s="63"/>
      <c r="O430" s="63"/>
      <c r="P430" s="63"/>
      <c r="Q430" s="63">
        <f t="shared" si="24"/>
        <v>96.42</v>
      </c>
      <c r="R430" s="63">
        <f t="shared" si="25"/>
        <v>0</v>
      </c>
      <c r="S430" s="63">
        <f t="shared" si="26"/>
        <v>96.42</v>
      </c>
    </row>
    <row r="431" spans="1:19" s="77" customFormat="1" ht="12" x14ac:dyDescent="0.2">
      <c r="A431" s="68" t="s">
        <v>8737</v>
      </c>
      <c r="B431" s="68" t="s">
        <v>8738</v>
      </c>
      <c r="C431" s="88">
        <v>293</v>
      </c>
      <c r="D431" s="73" t="s">
        <v>8739</v>
      </c>
      <c r="E431" s="165" t="s">
        <v>5724</v>
      </c>
      <c r="F431" s="74">
        <v>43425</v>
      </c>
      <c r="G431" s="95">
        <f>58.45+7.5+100</f>
        <v>165.95</v>
      </c>
      <c r="H431" s="63"/>
      <c r="I431" s="63"/>
      <c r="J431" s="63"/>
      <c r="K431" s="133"/>
      <c r="L431" s="63"/>
      <c r="M431" s="63"/>
      <c r="N431" s="63"/>
      <c r="O431" s="63"/>
      <c r="P431" s="63"/>
      <c r="Q431" s="63">
        <f t="shared" si="24"/>
        <v>165.95</v>
      </c>
      <c r="R431" s="63">
        <f t="shared" si="25"/>
        <v>0</v>
      </c>
      <c r="S431" s="63">
        <f t="shared" si="26"/>
        <v>165.95</v>
      </c>
    </row>
    <row r="432" spans="1:19" s="77" customFormat="1" ht="12" x14ac:dyDescent="0.2">
      <c r="A432" s="68" t="s">
        <v>8737</v>
      </c>
      <c r="B432" s="68" t="s">
        <v>8738</v>
      </c>
      <c r="C432" s="88">
        <v>293</v>
      </c>
      <c r="D432" s="73" t="s">
        <v>8740</v>
      </c>
      <c r="E432" s="165" t="s">
        <v>5724</v>
      </c>
      <c r="F432" s="74">
        <v>43425</v>
      </c>
      <c r="G432" s="95">
        <f>398.43+144</f>
        <v>542.43000000000006</v>
      </c>
      <c r="H432" s="63"/>
      <c r="I432" s="63"/>
      <c r="J432" s="63"/>
      <c r="K432" s="133"/>
      <c r="L432" s="63"/>
      <c r="M432" s="63"/>
      <c r="N432" s="63"/>
      <c r="O432" s="63"/>
      <c r="P432" s="63"/>
      <c r="Q432" s="63">
        <f t="shared" si="24"/>
        <v>542.43000000000006</v>
      </c>
      <c r="R432" s="63">
        <f t="shared" si="25"/>
        <v>0</v>
      </c>
      <c r="S432" s="63">
        <f t="shared" si="26"/>
        <v>542.43000000000006</v>
      </c>
    </row>
    <row r="433" spans="1:19" s="77" customFormat="1" ht="12" x14ac:dyDescent="0.2">
      <c r="A433" s="68" t="s">
        <v>8741</v>
      </c>
      <c r="B433" s="68" t="s">
        <v>8742</v>
      </c>
      <c r="C433" s="88">
        <v>294</v>
      </c>
      <c r="D433" s="73" t="s">
        <v>8743</v>
      </c>
      <c r="E433" s="165" t="s">
        <v>8744</v>
      </c>
      <c r="F433" s="74">
        <v>43426</v>
      </c>
      <c r="G433" s="95">
        <v>345.38</v>
      </c>
      <c r="H433" s="63"/>
      <c r="I433" s="63"/>
      <c r="J433" s="63"/>
      <c r="K433" s="133"/>
      <c r="L433" s="63"/>
      <c r="M433" s="63"/>
      <c r="N433" s="63"/>
      <c r="O433" s="63"/>
      <c r="P433" s="63"/>
      <c r="Q433" s="63">
        <f t="shared" si="24"/>
        <v>345.38</v>
      </c>
      <c r="R433" s="63">
        <f t="shared" si="25"/>
        <v>0</v>
      </c>
      <c r="S433" s="63">
        <f t="shared" si="26"/>
        <v>345.38</v>
      </c>
    </row>
    <row r="434" spans="1:19" s="77" customFormat="1" ht="12" x14ac:dyDescent="0.2">
      <c r="A434" s="68" t="s">
        <v>8745</v>
      </c>
      <c r="B434" s="68" t="s">
        <v>2859</v>
      </c>
      <c r="C434" s="88">
        <v>295</v>
      </c>
      <c r="D434" s="73" t="s">
        <v>8746</v>
      </c>
      <c r="E434" s="165" t="s">
        <v>3721</v>
      </c>
      <c r="F434" s="74">
        <v>43426</v>
      </c>
      <c r="G434" s="95"/>
      <c r="H434" s="63"/>
      <c r="I434" s="63"/>
      <c r="J434" s="63"/>
      <c r="K434" s="133"/>
      <c r="L434" s="63"/>
      <c r="M434" s="63"/>
      <c r="N434" s="63"/>
      <c r="O434" s="63"/>
      <c r="P434" s="63"/>
      <c r="Q434" s="63">
        <f t="shared" si="24"/>
        <v>0</v>
      </c>
      <c r="R434" s="63">
        <f t="shared" si="25"/>
        <v>0</v>
      </c>
      <c r="S434" s="63">
        <f t="shared" si="26"/>
        <v>0</v>
      </c>
    </row>
    <row r="435" spans="1:19" s="77" customFormat="1" ht="12" x14ac:dyDescent="0.2">
      <c r="A435" s="68" t="s">
        <v>8747</v>
      </c>
      <c r="B435" s="68" t="s">
        <v>8748</v>
      </c>
      <c r="C435" s="88">
        <v>296</v>
      </c>
      <c r="D435" s="73" t="s">
        <v>8749</v>
      </c>
      <c r="E435" s="165" t="s">
        <v>3721</v>
      </c>
      <c r="F435" s="74">
        <v>43428</v>
      </c>
      <c r="G435" s="95">
        <v>123.42</v>
      </c>
      <c r="H435" s="63"/>
      <c r="I435" s="63"/>
      <c r="J435" s="63"/>
      <c r="K435" s="133"/>
      <c r="L435" s="63"/>
      <c r="M435" s="63"/>
      <c r="N435" s="63"/>
      <c r="O435" s="63"/>
      <c r="P435" s="63"/>
      <c r="Q435" s="63">
        <f t="shared" si="24"/>
        <v>123.42</v>
      </c>
      <c r="R435" s="63">
        <f t="shared" si="25"/>
        <v>0</v>
      </c>
      <c r="S435" s="63">
        <f t="shared" si="26"/>
        <v>123.42</v>
      </c>
    </row>
    <row r="436" spans="1:19" s="77" customFormat="1" ht="12" x14ac:dyDescent="0.2">
      <c r="A436" s="68" t="s">
        <v>8750</v>
      </c>
      <c r="B436" s="68" t="s">
        <v>8751</v>
      </c>
      <c r="C436" s="88">
        <v>297</v>
      </c>
      <c r="D436" s="73" t="s">
        <v>8752</v>
      </c>
      <c r="E436" s="165" t="s">
        <v>3721</v>
      </c>
      <c r="F436" s="74">
        <v>43429</v>
      </c>
      <c r="G436" s="95"/>
      <c r="H436" s="63"/>
      <c r="I436" s="63"/>
      <c r="J436" s="63"/>
      <c r="K436" s="133"/>
      <c r="L436" s="63"/>
      <c r="M436" s="63"/>
      <c r="N436" s="63"/>
      <c r="O436" s="63"/>
      <c r="P436" s="63"/>
      <c r="Q436" s="63">
        <f t="shared" si="24"/>
        <v>0</v>
      </c>
      <c r="R436" s="63">
        <f t="shared" si="25"/>
        <v>0</v>
      </c>
      <c r="S436" s="63">
        <f t="shared" si="26"/>
        <v>0</v>
      </c>
    </row>
    <row r="437" spans="1:19" s="77" customFormat="1" ht="12" x14ac:dyDescent="0.2">
      <c r="A437" s="68" t="s">
        <v>8753</v>
      </c>
      <c r="B437" s="68" t="s">
        <v>8754</v>
      </c>
      <c r="C437" s="88">
        <v>298</v>
      </c>
      <c r="D437" s="73" t="s">
        <v>8755</v>
      </c>
      <c r="E437" s="165" t="s">
        <v>3721</v>
      </c>
      <c r="F437" s="74">
        <v>43429</v>
      </c>
      <c r="G437" s="95">
        <v>318.77999999999997</v>
      </c>
      <c r="H437" s="63"/>
      <c r="I437" s="63"/>
      <c r="J437" s="63"/>
      <c r="K437" s="133"/>
      <c r="L437" s="63"/>
      <c r="M437" s="63"/>
      <c r="N437" s="63"/>
      <c r="O437" s="63"/>
      <c r="P437" s="63"/>
      <c r="Q437" s="63">
        <f t="shared" si="24"/>
        <v>318.77999999999997</v>
      </c>
      <c r="R437" s="63">
        <f t="shared" si="25"/>
        <v>0</v>
      </c>
      <c r="S437" s="63">
        <f t="shared" si="26"/>
        <v>318.77999999999997</v>
      </c>
    </row>
    <row r="438" spans="1:19" s="77" customFormat="1" ht="12" x14ac:dyDescent="0.2">
      <c r="A438" s="68" t="s">
        <v>8768</v>
      </c>
      <c r="B438" s="68" t="s">
        <v>8767</v>
      </c>
      <c r="C438" s="88">
        <v>299</v>
      </c>
      <c r="D438" s="73" t="s">
        <v>8910</v>
      </c>
      <c r="E438" s="165" t="s">
        <v>3721</v>
      </c>
      <c r="F438" s="74">
        <v>43431</v>
      </c>
      <c r="G438" s="95">
        <v>635.26</v>
      </c>
      <c r="H438" s="63"/>
      <c r="I438" s="63"/>
      <c r="J438" s="63"/>
      <c r="K438" s="133"/>
      <c r="L438" s="63"/>
      <c r="M438" s="63"/>
      <c r="N438" s="63"/>
      <c r="O438" s="63"/>
      <c r="P438" s="63"/>
      <c r="Q438" s="63">
        <f t="shared" si="24"/>
        <v>635.26</v>
      </c>
      <c r="R438" s="63">
        <f t="shared" si="25"/>
        <v>0</v>
      </c>
      <c r="S438" s="63">
        <f t="shared" si="26"/>
        <v>635.26</v>
      </c>
    </row>
    <row r="439" spans="1:19" s="77" customFormat="1" ht="12" x14ac:dyDescent="0.2">
      <c r="A439" s="68" t="s">
        <v>8756</v>
      </c>
      <c r="B439" s="68" t="s">
        <v>8765</v>
      </c>
      <c r="C439" s="88">
        <v>300</v>
      </c>
      <c r="D439" s="73" t="s">
        <v>8757</v>
      </c>
      <c r="E439" s="165" t="s">
        <v>3878</v>
      </c>
      <c r="F439" s="74">
        <v>43432</v>
      </c>
      <c r="G439" s="95">
        <f>232+104.5</f>
        <v>336.5</v>
      </c>
      <c r="H439" s="63"/>
      <c r="I439" s="63">
        <f>930+434</f>
        <v>1364</v>
      </c>
      <c r="J439" s="63"/>
      <c r="K439" s="133"/>
      <c r="L439" s="63"/>
      <c r="M439" s="63"/>
      <c r="N439" s="63"/>
      <c r="O439" s="63"/>
      <c r="P439" s="63"/>
      <c r="Q439" s="63">
        <f t="shared" si="24"/>
        <v>1700.5</v>
      </c>
      <c r="R439" s="63">
        <f t="shared" si="25"/>
        <v>0</v>
      </c>
      <c r="S439" s="63">
        <f t="shared" si="26"/>
        <v>1700.5</v>
      </c>
    </row>
    <row r="440" spans="1:19" s="77" customFormat="1" ht="12" x14ac:dyDescent="0.2">
      <c r="A440" s="68" t="s">
        <v>8758</v>
      </c>
      <c r="B440" s="68" t="s">
        <v>8769</v>
      </c>
      <c r="C440" s="88">
        <v>301</v>
      </c>
      <c r="D440" s="73" t="s">
        <v>9070</v>
      </c>
      <c r="E440" s="165" t="s">
        <v>3721</v>
      </c>
      <c r="F440" s="74">
        <v>43433</v>
      </c>
      <c r="G440" s="95">
        <f>153.4+1.18</f>
        <v>154.58000000000001</v>
      </c>
      <c r="H440" s="63"/>
      <c r="I440" s="63"/>
      <c r="J440" s="63"/>
      <c r="K440" s="133"/>
      <c r="L440" s="63"/>
      <c r="M440" s="63"/>
      <c r="N440" s="63"/>
      <c r="O440" s="63"/>
      <c r="P440" s="63"/>
      <c r="Q440" s="63">
        <f t="shared" si="24"/>
        <v>154.58000000000001</v>
      </c>
      <c r="R440" s="63">
        <f t="shared" si="25"/>
        <v>0</v>
      </c>
      <c r="S440" s="63">
        <f t="shared" si="26"/>
        <v>154.58000000000001</v>
      </c>
    </row>
    <row r="441" spans="1:19" s="77" customFormat="1" ht="12" x14ac:dyDescent="0.2">
      <c r="A441" s="68" t="s">
        <v>8758</v>
      </c>
      <c r="B441" s="68" t="s">
        <v>8769</v>
      </c>
      <c r="C441" s="88">
        <v>301</v>
      </c>
      <c r="D441" s="73" t="s">
        <v>8759</v>
      </c>
      <c r="E441" s="165" t="s">
        <v>3721</v>
      </c>
      <c r="F441" s="74">
        <v>43433</v>
      </c>
      <c r="G441" s="95">
        <f>92.04+1.89</f>
        <v>93.93</v>
      </c>
      <c r="H441" s="63"/>
      <c r="I441" s="63"/>
      <c r="J441" s="63"/>
      <c r="K441" s="133"/>
      <c r="L441" s="63"/>
      <c r="M441" s="63"/>
      <c r="N441" s="63"/>
      <c r="O441" s="63"/>
      <c r="P441" s="63"/>
      <c r="Q441" s="63">
        <f t="shared" si="24"/>
        <v>93.93</v>
      </c>
      <c r="R441" s="63">
        <f t="shared" si="25"/>
        <v>0</v>
      </c>
      <c r="S441" s="63">
        <f t="shared" si="26"/>
        <v>93.93</v>
      </c>
    </row>
    <row r="442" spans="1:19" s="77" customFormat="1" ht="12" x14ac:dyDescent="0.2">
      <c r="A442" s="68" t="s">
        <v>8396</v>
      </c>
      <c r="B442" s="68" t="s">
        <v>8760</v>
      </c>
      <c r="C442" s="88">
        <v>302</v>
      </c>
      <c r="D442" s="73" t="s">
        <v>8761</v>
      </c>
      <c r="E442" s="165" t="s">
        <v>8762</v>
      </c>
      <c r="F442" s="74">
        <v>43433</v>
      </c>
      <c r="G442" s="95">
        <f>2+38</f>
        <v>40</v>
      </c>
      <c r="H442" s="63"/>
      <c r="I442" s="63"/>
      <c r="J442" s="63"/>
      <c r="K442" s="133"/>
      <c r="L442" s="63"/>
      <c r="M442" s="63"/>
      <c r="N442" s="63"/>
      <c r="O442" s="63"/>
      <c r="P442" s="63"/>
      <c r="Q442" s="63">
        <f t="shared" si="24"/>
        <v>40</v>
      </c>
      <c r="R442" s="63">
        <f t="shared" si="25"/>
        <v>0</v>
      </c>
      <c r="S442" s="63">
        <f t="shared" si="26"/>
        <v>40</v>
      </c>
    </row>
    <row r="443" spans="1:19" s="77" customFormat="1" ht="12" x14ac:dyDescent="0.2">
      <c r="A443" s="68" t="s">
        <v>8396</v>
      </c>
      <c r="B443" s="68" t="s">
        <v>8760</v>
      </c>
      <c r="C443" s="88">
        <v>302</v>
      </c>
      <c r="D443" s="73" t="s">
        <v>8763</v>
      </c>
      <c r="E443" s="165" t="s">
        <v>8762</v>
      </c>
      <c r="F443" s="74">
        <v>43433</v>
      </c>
      <c r="G443" s="95">
        <f>38+3.6</f>
        <v>41.6</v>
      </c>
      <c r="H443" s="63"/>
      <c r="I443" s="63"/>
      <c r="J443" s="63"/>
      <c r="K443" s="133"/>
      <c r="L443" s="63"/>
      <c r="M443" s="63"/>
      <c r="N443" s="63"/>
      <c r="O443" s="63"/>
      <c r="P443" s="63"/>
      <c r="Q443" s="63">
        <f t="shared" si="24"/>
        <v>41.6</v>
      </c>
      <c r="R443" s="63">
        <f t="shared" si="25"/>
        <v>0</v>
      </c>
      <c r="S443" s="63">
        <f t="shared" si="26"/>
        <v>41.6</v>
      </c>
    </row>
    <row r="444" spans="1:19" s="77" customFormat="1" ht="12" x14ac:dyDescent="0.2">
      <c r="A444" s="68" t="s">
        <v>8396</v>
      </c>
      <c r="B444" s="68" t="s">
        <v>8760</v>
      </c>
      <c r="C444" s="88">
        <v>302</v>
      </c>
      <c r="D444" s="73" t="s">
        <v>8764</v>
      </c>
      <c r="E444" s="165" t="s">
        <v>8762</v>
      </c>
      <c r="F444" s="74">
        <v>43433</v>
      </c>
      <c r="G444" s="95">
        <f>38+3.6</f>
        <v>41.6</v>
      </c>
      <c r="H444" s="63"/>
      <c r="I444" s="63"/>
      <c r="J444" s="63"/>
      <c r="K444" s="133"/>
      <c r="L444" s="63"/>
      <c r="M444" s="63"/>
      <c r="N444" s="63"/>
      <c r="O444" s="63"/>
      <c r="P444" s="63"/>
      <c r="Q444" s="63">
        <f t="shared" si="24"/>
        <v>41.6</v>
      </c>
      <c r="R444" s="63">
        <f t="shared" si="25"/>
        <v>0</v>
      </c>
      <c r="S444" s="63">
        <f t="shared" si="26"/>
        <v>41.6</v>
      </c>
    </row>
    <row r="445" spans="1:19" s="77" customFormat="1" ht="12" x14ac:dyDescent="0.2">
      <c r="A445" s="68" t="s">
        <v>8771</v>
      </c>
      <c r="B445" s="68" t="s">
        <v>8778</v>
      </c>
      <c r="C445" s="88">
        <v>303</v>
      </c>
      <c r="D445" s="73" t="s">
        <v>8784</v>
      </c>
      <c r="E445" s="165" t="s">
        <v>3721</v>
      </c>
      <c r="F445" s="74">
        <v>43434</v>
      </c>
      <c r="G445" s="95">
        <v>506.04</v>
      </c>
      <c r="H445" s="63"/>
      <c r="I445" s="63"/>
      <c r="J445" s="63"/>
      <c r="K445" s="133"/>
      <c r="L445" s="63"/>
      <c r="M445" s="63"/>
      <c r="N445" s="63"/>
      <c r="O445" s="63"/>
      <c r="P445" s="63"/>
      <c r="Q445" s="63">
        <f t="shared" ref="Q445:Q490" si="27">+G445+I445+K445+M445+O445</f>
        <v>506.04</v>
      </c>
      <c r="R445" s="63">
        <f t="shared" ref="R445:R490" si="28">+H445+J445+L445+N445+P445</f>
        <v>0</v>
      </c>
      <c r="S445" s="63">
        <f t="shared" ref="S445:S490" si="29">+Q445+R445</f>
        <v>506.04</v>
      </c>
    </row>
    <row r="446" spans="1:19" s="77" customFormat="1" ht="12" x14ac:dyDescent="0.2">
      <c r="A446" s="68" t="s">
        <v>8772</v>
      </c>
      <c r="B446" s="68" t="s">
        <v>8779</v>
      </c>
      <c r="C446" s="88">
        <v>304</v>
      </c>
      <c r="D446" s="73" t="s">
        <v>8785</v>
      </c>
      <c r="E446" s="165" t="s">
        <v>3721</v>
      </c>
      <c r="F446" s="74">
        <v>43434</v>
      </c>
      <c r="G446" s="95"/>
      <c r="H446" s="63"/>
      <c r="I446" s="63"/>
      <c r="J446" s="63"/>
      <c r="K446" s="133"/>
      <c r="L446" s="63"/>
      <c r="M446" s="63"/>
      <c r="N446" s="63"/>
      <c r="O446" s="63"/>
      <c r="P446" s="63"/>
      <c r="Q446" s="63">
        <f t="shared" si="27"/>
        <v>0</v>
      </c>
      <c r="R446" s="63">
        <f t="shared" si="28"/>
        <v>0</v>
      </c>
      <c r="S446" s="63">
        <f t="shared" si="29"/>
        <v>0</v>
      </c>
    </row>
    <row r="447" spans="1:19" s="77" customFormat="1" ht="12" x14ac:dyDescent="0.2">
      <c r="A447" s="68" t="s">
        <v>8773</v>
      </c>
      <c r="B447" s="68" t="s">
        <v>6144</v>
      </c>
      <c r="C447" s="88">
        <v>305</v>
      </c>
      <c r="D447" s="73" t="s">
        <v>8786</v>
      </c>
      <c r="E447" s="165" t="s">
        <v>3721</v>
      </c>
      <c r="F447" s="74">
        <v>43435</v>
      </c>
      <c r="G447" s="95">
        <f>82.6</f>
        <v>82.6</v>
      </c>
      <c r="H447" s="63"/>
      <c r="I447" s="63"/>
      <c r="J447" s="63"/>
      <c r="K447" s="133"/>
      <c r="L447" s="63"/>
      <c r="M447" s="63"/>
      <c r="N447" s="63"/>
      <c r="O447" s="63"/>
      <c r="P447" s="63"/>
      <c r="Q447" s="63">
        <f t="shared" si="27"/>
        <v>82.6</v>
      </c>
      <c r="R447" s="63">
        <f t="shared" si="28"/>
        <v>0</v>
      </c>
      <c r="S447" s="63">
        <f t="shared" si="29"/>
        <v>82.6</v>
      </c>
    </row>
    <row r="448" spans="1:19" s="77" customFormat="1" ht="12" x14ac:dyDescent="0.2">
      <c r="A448" s="68" t="s">
        <v>8774</v>
      </c>
      <c r="B448" s="68" t="s">
        <v>8780</v>
      </c>
      <c r="C448" s="88">
        <v>306</v>
      </c>
      <c r="D448" s="73" t="s">
        <v>8787</v>
      </c>
      <c r="E448" s="165" t="s">
        <v>3721</v>
      </c>
      <c r="F448" s="74">
        <v>43438</v>
      </c>
      <c r="G448" s="95"/>
      <c r="H448" s="63"/>
      <c r="I448" s="63"/>
      <c r="J448" s="63"/>
      <c r="K448" s="133"/>
      <c r="L448" s="63"/>
      <c r="M448" s="63"/>
      <c r="N448" s="63"/>
      <c r="O448" s="63"/>
      <c r="P448" s="63"/>
      <c r="Q448" s="63">
        <f t="shared" si="27"/>
        <v>0</v>
      </c>
      <c r="R448" s="63">
        <f t="shared" si="28"/>
        <v>0</v>
      </c>
      <c r="S448" s="63">
        <f t="shared" si="29"/>
        <v>0</v>
      </c>
    </row>
    <row r="449" spans="1:19" s="77" customFormat="1" ht="12" x14ac:dyDescent="0.2">
      <c r="A449" s="68" t="s">
        <v>8775</v>
      </c>
      <c r="B449" s="68" t="s">
        <v>8781</v>
      </c>
      <c r="C449" s="88">
        <v>307</v>
      </c>
      <c r="D449" s="73" t="s">
        <v>8788</v>
      </c>
      <c r="E449" s="165" t="s">
        <v>3721</v>
      </c>
      <c r="F449" s="74">
        <v>43438</v>
      </c>
      <c r="G449" s="95">
        <v>143.91999999999999</v>
      </c>
      <c r="H449" s="63"/>
      <c r="I449" s="63"/>
      <c r="J449" s="63"/>
      <c r="K449" s="133"/>
      <c r="L449" s="63"/>
      <c r="M449" s="63"/>
      <c r="N449" s="63"/>
      <c r="O449" s="63"/>
      <c r="P449" s="63"/>
      <c r="Q449" s="63">
        <f t="shared" si="27"/>
        <v>143.91999999999999</v>
      </c>
      <c r="R449" s="63">
        <f t="shared" si="28"/>
        <v>0</v>
      </c>
      <c r="S449" s="63">
        <f t="shared" si="29"/>
        <v>143.91999999999999</v>
      </c>
    </row>
    <row r="450" spans="1:19" s="77" customFormat="1" ht="12" x14ac:dyDescent="0.2">
      <c r="A450" s="68" t="s">
        <v>8776</v>
      </c>
      <c r="B450" s="68" t="s">
        <v>8782</v>
      </c>
      <c r="C450" s="88">
        <v>308</v>
      </c>
      <c r="D450" s="73" t="s">
        <v>8789</v>
      </c>
      <c r="E450" s="165" t="s">
        <v>3721</v>
      </c>
      <c r="F450" s="74">
        <v>43438</v>
      </c>
      <c r="G450" s="95">
        <f>249.84+300+116.4+111.39+41.3</f>
        <v>818.93</v>
      </c>
      <c r="H450" s="63"/>
      <c r="I450" s="63"/>
      <c r="J450" s="63"/>
      <c r="K450" s="133"/>
      <c r="L450" s="63"/>
      <c r="M450" s="63"/>
      <c r="N450" s="63"/>
      <c r="O450" s="63"/>
      <c r="P450" s="63"/>
      <c r="Q450" s="63">
        <f t="shared" si="27"/>
        <v>818.93</v>
      </c>
      <c r="R450" s="63">
        <f t="shared" si="28"/>
        <v>0</v>
      </c>
      <c r="S450" s="63">
        <f t="shared" si="29"/>
        <v>818.93</v>
      </c>
    </row>
    <row r="451" spans="1:19" s="77" customFormat="1" ht="12" x14ac:dyDescent="0.2">
      <c r="A451" s="68" t="s">
        <v>8777</v>
      </c>
      <c r="B451" s="68" t="s">
        <v>8783</v>
      </c>
      <c r="C451" s="88">
        <v>309</v>
      </c>
      <c r="D451" s="73" t="s">
        <v>8790</v>
      </c>
      <c r="E451" s="165" t="s">
        <v>3721</v>
      </c>
      <c r="F451" s="74">
        <v>43438</v>
      </c>
      <c r="G451" s="95">
        <f>360+41.3+54.4+464.92</f>
        <v>920.62</v>
      </c>
      <c r="H451" s="63"/>
      <c r="I451" s="63"/>
      <c r="J451" s="63"/>
      <c r="K451" s="133"/>
      <c r="L451" s="63"/>
      <c r="M451" s="63"/>
      <c r="N451" s="63"/>
      <c r="O451" s="63"/>
      <c r="P451" s="63"/>
      <c r="Q451" s="63">
        <f t="shared" si="27"/>
        <v>920.62</v>
      </c>
      <c r="R451" s="63">
        <f t="shared" si="28"/>
        <v>0</v>
      </c>
      <c r="S451" s="63">
        <f t="shared" si="29"/>
        <v>920.62</v>
      </c>
    </row>
    <row r="452" spans="1:19" s="77" customFormat="1" ht="12" x14ac:dyDescent="0.2">
      <c r="A452" s="68" t="s">
        <v>8792</v>
      </c>
      <c r="B452" s="68" t="s">
        <v>1429</v>
      </c>
      <c r="C452" s="88">
        <v>310</v>
      </c>
      <c r="D452" s="73" t="s">
        <v>8820</v>
      </c>
      <c r="E452" s="155" t="s">
        <v>8762</v>
      </c>
      <c r="F452" s="74">
        <v>43439</v>
      </c>
      <c r="G452" s="95">
        <f>79.8+43.8+363</f>
        <v>486.6</v>
      </c>
      <c r="H452" s="63"/>
      <c r="I452" s="63">
        <f>930+930</f>
        <v>1860</v>
      </c>
      <c r="J452" s="63"/>
      <c r="K452" s="133"/>
      <c r="L452" s="63"/>
      <c r="M452" s="63"/>
      <c r="N452" s="63"/>
      <c r="O452" s="63"/>
      <c r="P452" s="63"/>
      <c r="Q452" s="63">
        <f t="shared" si="27"/>
        <v>2346.6</v>
      </c>
      <c r="R452" s="63">
        <f t="shared" si="28"/>
        <v>0</v>
      </c>
      <c r="S452" s="63">
        <f t="shared" si="29"/>
        <v>2346.6</v>
      </c>
    </row>
    <row r="453" spans="1:19" s="77" customFormat="1" ht="12" x14ac:dyDescent="0.2">
      <c r="A453" s="68" t="s">
        <v>8792</v>
      </c>
      <c r="B453" s="68" t="s">
        <v>1429</v>
      </c>
      <c r="C453" s="88">
        <v>310</v>
      </c>
      <c r="D453" s="73" t="s">
        <v>9272</v>
      </c>
      <c r="E453" s="155" t="s">
        <v>8762</v>
      </c>
      <c r="F453" s="74">
        <v>43439</v>
      </c>
      <c r="G453" s="95">
        <f>129.82+175.64+257.62+231.3+171.47+41.3+636.87+391.59+1469.1+142+9.3+231.3+136.3+231.3</f>
        <v>4254.9100000000008</v>
      </c>
      <c r="H453" s="63"/>
      <c r="I453" s="63">
        <v>3720</v>
      </c>
      <c r="J453" s="63"/>
      <c r="K453" s="133"/>
      <c r="L453" s="63"/>
      <c r="M453" s="63"/>
      <c r="N453" s="63"/>
      <c r="O453" s="63"/>
      <c r="P453" s="63"/>
      <c r="Q453" s="63">
        <f t="shared" si="27"/>
        <v>7974.9100000000008</v>
      </c>
      <c r="R453" s="63">
        <f t="shared" si="28"/>
        <v>0</v>
      </c>
      <c r="S453" s="63">
        <f t="shared" si="29"/>
        <v>7974.9100000000008</v>
      </c>
    </row>
    <row r="454" spans="1:19" s="77" customFormat="1" ht="12" x14ac:dyDescent="0.2">
      <c r="A454" s="68" t="s">
        <v>8792</v>
      </c>
      <c r="B454" s="68" t="s">
        <v>1429</v>
      </c>
      <c r="C454" s="88">
        <v>310</v>
      </c>
      <c r="D454" s="73" t="s">
        <v>8821</v>
      </c>
      <c r="E454" s="155" t="s">
        <v>8762</v>
      </c>
      <c r="F454" s="74">
        <v>43439</v>
      </c>
      <c r="G454" s="95">
        <f>69.51+240.33+147.18+41.3+91.36+107.38+41.3+705.89+1317.92+101.39+41.3+9.4+108</f>
        <v>3022.26</v>
      </c>
      <c r="H454" s="63"/>
      <c r="I454" s="63">
        <v>620</v>
      </c>
      <c r="J454" s="63"/>
      <c r="K454" s="133"/>
      <c r="L454" s="63"/>
      <c r="M454" s="63"/>
      <c r="N454" s="63"/>
      <c r="O454" s="63"/>
      <c r="P454" s="63"/>
      <c r="Q454" s="63">
        <f t="shared" si="27"/>
        <v>3642.26</v>
      </c>
      <c r="R454" s="63">
        <f t="shared" si="28"/>
        <v>0</v>
      </c>
      <c r="S454" s="63">
        <f t="shared" si="29"/>
        <v>3642.26</v>
      </c>
    </row>
    <row r="455" spans="1:19" s="77" customFormat="1" ht="12" x14ac:dyDescent="0.2">
      <c r="A455" s="68" t="s">
        <v>8793</v>
      </c>
      <c r="B455" s="68" t="s">
        <v>8806</v>
      </c>
      <c r="C455" s="88">
        <v>311</v>
      </c>
      <c r="D455" s="73" t="s">
        <v>8822</v>
      </c>
      <c r="E455" s="155" t="s">
        <v>3721</v>
      </c>
      <c r="F455" s="74">
        <v>43441</v>
      </c>
      <c r="G455" s="95">
        <f>289.6+1903.35+1799.82+250</f>
        <v>4242.7699999999995</v>
      </c>
      <c r="H455" s="63"/>
      <c r="I455" s="63">
        <v>930</v>
      </c>
      <c r="J455" s="63"/>
      <c r="K455" s="133"/>
      <c r="L455" s="63"/>
      <c r="M455" s="63"/>
      <c r="N455" s="63"/>
      <c r="O455" s="63"/>
      <c r="P455" s="63"/>
      <c r="Q455" s="63">
        <f t="shared" si="27"/>
        <v>5172.7699999999995</v>
      </c>
      <c r="R455" s="63">
        <f t="shared" si="28"/>
        <v>0</v>
      </c>
      <c r="S455" s="63">
        <f t="shared" si="29"/>
        <v>5172.7699999999995</v>
      </c>
    </row>
    <row r="456" spans="1:19" s="77" customFormat="1" ht="12" x14ac:dyDescent="0.2">
      <c r="A456" s="68" t="s">
        <v>8794</v>
      </c>
      <c r="B456" s="68" t="s">
        <v>8026</v>
      </c>
      <c r="C456" s="88">
        <v>312</v>
      </c>
      <c r="D456" s="73" t="s">
        <v>8823</v>
      </c>
      <c r="E456" s="155" t="s">
        <v>3721</v>
      </c>
      <c r="F456" s="74">
        <v>43441</v>
      </c>
      <c r="G456" s="95">
        <f>1022.04+825.78</f>
        <v>1847.82</v>
      </c>
      <c r="H456" s="63"/>
      <c r="I456" s="63">
        <f>930+2790</f>
        <v>3720</v>
      </c>
      <c r="J456" s="63"/>
      <c r="K456" s="133"/>
      <c r="L456" s="63"/>
      <c r="M456" s="63"/>
      <c r="N456" s="63"/>
      <c r="O456" s="63"/>
      <c r="P456" s="63"/>
      <c r="Q456" s="63">
        <f t="shared" si="27"/>
        <v>5567.82</v>
      </c>
      <c r="R456" s="63">
        <f t="shared" si="28"/>
        <v>0</v>
      </c>
      <c r="S456" s="63">
        <f t="shared" si="29"/>
        <v>5567.82</v>
      </c>
    </row>
    <row r="457" spans="1:19" s="77" customFormat="1" ht="12" x14ac:dyDescent="0.2">
      <c r="A457" s="68" t="s">
        <v>8795</v>
      </c>
      <c r="B457" s="68" t="s">
        <v>8807</v>
      </c>
      <c r="C457" s="88">
        <v>313</v>
      </c>
      <c r="D457" s="73" t="s">
        <v>8824</v>
      </c>
      <c r="E457" s="155" t="s">
        <v>8762</v>
      </c>
      <c r="F457" s="74">
        <v>43444</v>
      </c>
      <c r="G457" s="95">
        <v>124.3</v>
      </c>
      <c r="H457" s="63"/>
      <c r="I457" s="63"/>
      <c r="J457" s="63"/>
      <c r="K457" s="133"/>
      <c r="L457" s="63"/>
      <c r="M457" s="63"/>
      <c r="N457" s="63"/>
      <c r="O457" s="63"/>
      <c r="P457" s="63"/>
      <c r="Q457" s="63">
        <f t="shared" si="27"/>
        <v>124.3</v>
      </c>
      <c r="R457" s="63">
        <f t="shared" si="28"/>
        <v>0</v>
      </c>
      <c r="S457" s="63">
        <f t="shared" si="29"/>
        <v>124.3</v>
      </c>
    </row>
    <row r="458" spans="1:19" s="77" customFormat="1" ht="12" x14ac:dyDescent="0.2">
      <c r="A458" s="68" t="s">
        <v>8796</v>
      </c>
      <c r="B458" s="68" t="s">
        <v>8808</v>
      </c>
      <c r="C458" s="88">
        <v>314</v>
      </c>
      <c r="D458" s="73" t="s">
        <v>8825</v>
      </c>
      <c r="E458" s="155" t="s">
        <v>3721</v>
      </c>
      <c r="F458" s="74">
        <v>43446</v>
      </c>
      <c r="G458" s="95">
        <f>141.22+300</f>
        <v>441.22</v>
      </c>
      <c r="H458" s="63"/>
      <c r="I458" s="63"/>
      <c r="J458" s="63"/>
      <c r="K458" s="133"/>
      <c r="L458" s="63"/>
      <c r="M458" s="63"/>
      <c r="N458" s="63"/>
      <c r="O458" s="63"/>
      <c r="P458" s="63"/>
      <c r="Q458" s="63">
        <f t="shared" si="27"/>
        <v>441.22</v>
      </c>
      <c r="R458" s="63">
        <f t="shared" si="28"/>
        <v>0</v>
      </c>
      <c r="S458" s="63">
        <f t="shared" si="29"/>
        <v>441.22</v>
      </c>
    </row>
    <row r="459" spans="1:19" s="77" customFormat="1" ht="12" x14ac:dyDescent="0.2">
      <c r="A459" s="68" t="s">
        <v>8797</v>
      </c>
      <c r="B459" s="68" t="s">
        <v>8809</v>
      </c>
      <c r="C459" s="88">
        <v>315</v>
      </c>
      <c r="D459" s="73" t="s">
        <v>8978</v>
      </c>
      <c r="E459" s="155" t="s">
        <v>3721</v>
      </c>
      <c r="F459" s="74">
        <v>43446</v>
      </c>
      <c r="G459" s="95">
        <v>75</v>
      </c>
      <c r="H459" s="63"/>
      <c r="I459" s="63"/>
      <c r="J459" s="63"/>
      <c r="K459" s="133"/>
      <c r="L459" s="63"/>
      <c r="M459" s="63"/>
      <c r="N459" s="63"/>
      <c r="O459" s="63"/>
      <c r="P459" s="63"/>
      <c r="Q459" s="63">
        <f t="shared" si="27"/>
        <v>75</v>
      </c>
      <c r="R459" s="63">
        <f t="shared" si="28"/>
        <v>0</v>
      </c>
      <c r="S459" s="63">
        <f t="shared" si="29"/>
        <v>75</v>
      </c>
    </row>
    <row r="460" spans="1:19" s="77" customFormat="1" ht="12" x14ac:dyDescent="0.2">
      <c r="A460" s="68" t="s">
        <v>8798</v>
      </c>
      <c r="B460" s="68" t="s">
        <v>8810</v>
      </c>
      <c r="C460" s="88">
        <v>316</v>
      </c>
      <c r="D460" s="73" t="s">
        <v>8826</v>
      </c>
      <c r="E460" s="155" t="s">
        <v>3721</v>
      </c>
      <c r="F460" s="74">
        <v>43447</v>
      </c>
      <c r="G460" s="95">
        <f>576.2+1966.48+300+300+238</f>
        <v>3380.6800000000003</v>
      </c>
      <c r="H460" s="63"/>
      <c r="I460" s="63"/>
      <c r="J460" s="63"/>
      <c r="K460" s="133"/>
      <c r="L460" s="63"/>
      <c r="M460" s="63"/>
      <c r="N460" s="63"/>
      <c r="O460" s="63"/>
      <c r="P460" s="63"/>
      <c r="Q460" s="63">
        <f t="shared" si="27"/>
        <v>3380.6800000000003</v>
      </c>
      <c r="R460" s="63">
        <f t="shared" si="28"/>
        <v>0</v>
      </c>
      <c r="S460" s="63">
        <f t="shared" si="29"/>
        <v>3380.6800000000003</v>
      </c>
    </row>
    <row r="461" spans="1:19" s="77" customFormat="1" ht="12" x14ac:dyDescent="0.2">
      <c r="A461" s="68" t="s">
        <v>8799</v>
      </c>
      <c r="B461" s="74" t="s">
        <v>8811</v>
      </c>
      <c r="C461" s="88">
        <v>317</v>
      </c>
      <c r="D461" s="73" t="s">
        <v>8827</v>
      </c>
      <c r="E461" s="155" t="s">
        <v>3721</v>
      </c>
      <c r="F461" s="74">
        <v>43449</v>
      </c>
      <c r="G461" s="95">
        <v>202.26</v>
      </c>
      <c r="H461" s="63"/>
      <c r="I461" s="63"/>
      <c r="J461" s="63"/>
      <c r="K461" s="133"/>
      <c r="L461" s="63"/>
      <c r="M461" s="63"/>
      <c r="N461" s="63"/>
      <c r="O461" s="63"/>
      <c r="P461" s="63"/>
      <c r="Q461" s="63">
        <f t="shared" si="27"/>
        <v>202.26</v>
      </c>
      <c r="R461" s="63">
        <f t="shared" si="28"/>
        <v>0</v>
      </c>
      <c r="S461" s="63">
        <f t="shared" si="29"/>
        <v>202.26</v>
      </c>
    </row>
    <row r="462" spans="1:19" s="77" customFormat="1" ht="12" x14ac:dyDescent="0.2">
      <c r="A462" s="68" t="s">
        <v>8800</v>
      </c>
      <c r="B462" s="68" t="s">
        <v>8812</v>
      </c>
      <c r="C462" s="88">
        <v>318</v>
      </c>
      <c r="D462" s="73" t="s">
        <v>8828</v>
      </c>
      <c r="E462" s="155" t="s">
        <v>3721</v>
      </c>
      <c r="F462" s="74">
        <v>43449</v>
      </c>
      <c r="G462" s="95">
        <f>213.88+550+35</f>
        <v>798.88</v>
      </c>
      <c r="H462" s="63"/>
      <c r="I462" s="63"/>
      <c r="J462" s="63"/>
      <c r="K462" s="133"/>
      <c r="L462" s="63"/>
      <c r="M462" s="63"/>
      <c r="N462" s="63"/>
      <c r="O462" s="63"/>
      <c r="P462" s="63"/>
      <c r="Q462" s="63">
        <f t="shared" si="27"/>
        <v>798.88</v>
      </c>
      <c r="R462" s="63">
        <f t="shared" si="28"/>
        <v>0</v>
      </c>
      <c r="S462" s="63">
        <f t="shared" si="29"/>
        <v>798.88</v>
      </c>
    </row>
    <row r="463" spans="1:19" s="77" customFormat="1" ht="12" x14ac:dyDescent="0.2">
      <c r="A463" s="68" t="s">
        <v>8801</v>
      </c>
      <c r="B463" s="74" t="s">
        <v>8813</v>
      </c>
      <c r="C463" s="88">
        <v>319</v>
      </c>
      <c r="D463" s="73" t="s">
        <v>8829</v>
      </c>
      <c r="E463" s="155" t="s">
        <v>3721</v>
      </c>
      <c r="F463" s="74">
        <v>43450</v>
      </c>
      <c r="G463" s="95">
        <v>84.55</v>
      </c>
      <c r="H463" s="63"/>
      <c r="I463" s="63"/>
      <c r="J463" s="63"/>
      <c r="K463" s="63"/>
      <c r="L463" s="63"/>
      <c r="M463" s="63"/>
      <c r="N463" s="63"/>
      <c r="O463" s="63"/>
      <c r="P463" s="63"/>
      <c r="Q463" s="63">
        <f t="shared" si="27"/>
        <v>84.55</v>
      </c>
      <c r="R463" s="63">
        <f t="shared" si="28"/>
        <v>0</v>
      </c>
      <c r="S463" s="63">
        <f t="shared" si="29"/>
        <v>84.55</v>
      </c>
    </row>
    <row r="464" spans="1:19" s="77" customFormat="1" ht="12" x14ac:dyDescent="0.2">
      <c r="A464" s="68" t="s">
        <v>8801</v>
      </c>
      <c r="B464" s="74" t="s">
        <v>8813</v>
      </c>
      <c r="C464" s="88">
        <v>319</v>
      </c>
      <c r="D464" s="73" t="s">
        <v>8830</v>
      </c>
      <c r="E464" s="155" t="s">
        <v>3721</v>
      </c>
      <c r="F464" s="74">
        <v>43450</v>
      </c>
      <c r="G464" s="95">
        <f>116.55+700</f>
        <v>816.55</v>
      </c>
      <c r="H464" s="63"/>
      <c r="I464" s="63"/>
      <c r="J464" s="63"/>
      <c r="K464" s="63"/>
      <c r="L464" s="63"/>
      <c r="M464" s="63"/>
      <c r="N464" s="63"/>
      <c r="O464" s="63"/>
      <c r="P464" s="63"/>
      <c r="Q464" s="63">
        <f t="shared" si="27"/>
        <v>816.55</v>
      </c>
      <c r="R464" s="63">
        <f t="shared" si="28"/>
        <v>0</v>
      </c>
      <c r="S464" s="63">
        <f t="shared" si="29"/>
        <v>816.55</v>
      </c>
    </row>
    <row r="465" spans="1:19" s="77" customFormat="1" ht="12" x14ac:dyDescent="0.2">
      <c r="A465" s="68">
        <v>17455</v>
      </c>
      <c r="B465" s="68" t="s">
        <v>8814</v>
      </c>
      <c r="C465" s="88">
        <v>320</v>
      </c>
      <c r="D465" s="73" t="s">
        <v>8831</v>
      </c>
      <c r="E465" s="155" t="s">
        <v>3721</v>
      </c>
      <c r="F465" s="74">
        <v>43451</v>
      </c>
      <c r="G465" s="95">
        <v>161.41999999999999</v>
      </c>
      <c r="H465" s="63"/>
      <c r="I465" s="63"/>
      <c r="J465" s="63"/>
      <c r="K465" s="63"/>
      <c r="L465" s="63"/>
      <c r="M465" s="63"/>
      <c r="N465" s="63"/>
      <c r="O465" s="63"/>
      <c r="P465" s="63"/>
      <c r="Q465" s="63">
        <f t="shared" si="27"/>
        <v>161.41999999999999</v>
      </c>
      <c r="R465" s="63">
        <f t="shared" si="28"/>
        <v>0</v>
      </c>
      <c r="S465" s="63">
        <f t="shared" si="29"/>
        <v>161.41999999999999</v>
      </c>
    </row>
    <row r="466" spans="1:19" s="77" customFormat="1" ht="12" x14ac:dyDescent="0.2">
      <c r="A466" s="68" t="s">
        <v>8802</v>
      </c>
      <c r="B466" s="68" t="s">
        <v>8815</v>
      </c>
      <c r="C466" s="88">
        <v>321</v>
      </c>
      <c r="D466" s="73" t="s">
        <v>8832</v>
      </c>
      <c r="E466" s="155" t="s">
        <v>3721</v>
      </c>
      <c r="F466" s="74">
        <v>43453</v>
      </c>
      <c r="G466" s="95">
        <v>100.52</v>
      </c>
      <c r="H466" s="63"/>
      <c r="I466" s="63"/>
      <c r="J466" s="63"/>
      <c r="K466" s="63"/>
      <c r="L466" s="63"/>
      <c r="M466" s="63"/>
      <c r="N466" s="63"/>
      <c r="O466" s="63"/>
      <c r="P466" s="63"/>
      <c r="Q466" s="63">
        <f t="shared" si="27"/>
        <v>100.52</v>
      </c>
      <c r="R466" s="63">
        <f t="shared" si="28"/>
        <v>0</v>
      </c>
      <c r="S466" s="63">
        <f t="shared" si="29"/>
        <v>100.52</v>
      </c>
    </row>
    <row r="467" spans="1:19" s="77" customFormat="1" ht="12" x14ac:dyDescent="0.2">
      <c r="A467" s="68">
        <v>15479</v>
      </c>
      <c r="B467" s="68" t="s">
        <v>8816</v>
      </c>
      <c r="C467" s="88">
        <v>322</v>
      </c>
      <c r="D467" s="73" t="s">
        <v>8833</v>
      </c>
      <c r="E467" s="155" t="s">
        <v>3721</v>
      </c>
      <c r="F467" s="74">
        <v>43454</v>
      </c>
      <c r="G467" s="95">
        <f>115.42+550+2794.11+321.72+237.59+139.45+139.45+139.45+321.72+167.49</f>
        <v>4926.3999999999996</v>
      </c>
      <c r="H467" s="63"/>
      <c r="I467" s="63"/>
      <c r="J467" s="63"/>
      <c r="K467" s="63"/>
      <c r="L467" s="63"/>
      <c r="M467" s="63"/>
      <c r="N467" s="63"/>
      <c r="O467" s="63"/>
      <c r="P467" s="63"/>
      <c r="Q467" s="63">
        <f t="shared" si="27"/>
        <v>4926.3999999999996</v>
      </c>
      <c r="R467" s="63">
        <f t="shared" si="28"/>
        <v>0</v>
      </c>
      <c r="S467" s="63">
        <f t="shared" si="29"/>
        <v>4926.3999999999996</v>
      </c>
    </row>
    <row r="468" spans="1:19" s="77" customFormat="1" ht="12" x14ac:dyDescent="0.2">
      <c r="A468" s="68">
        <v>15479</v>
      </c>
      <c r="B468" s="68" t="s">
        <v>8816</v>
      </c>
      <c r="C468" s="88">
        <v>322</v>
      </c>
      <c r="D468" s="73" t="s">
        <v>8834</v>
      </c>
      <c r="E468" s="155" t="s">
        <v>3721</v>
      </c>
      <c r="F468" s="74">
        <v>43454</v>
      </c>
      <c r="G468" s="95">
        <f>178.42+400</f>
        <v>578.41999999999996</v>
      </c>
      <c r="H468" s="63"/>
      <c r="I468" s="63"/>
      <c r="J468" s="63"/>
      <c r="K468" s="63"/>
      <c r="L468" s="63"/>
      <c r="M468" s="63"/>
      <c r="N468" s="63"/>
      <c r="O468" s="63"/>
      <c r="P468" s="63"/>
      <c r="Q468" s="63">
        <f t="shared" si="27"/>
        <v>578.41999999999996</v>
      </c>
      <c r="R468" s="63">
        <f t="shared" si="28"/>
        <v>0</v>
      </c>
      <c r="S468" s="63">
        <f t="shared" si="29"/>
        <v>578.41999999999996</v>
      </c>
    </row>
    <row r="469" spans="1:19" s="77" customFormat="1" ht="12" x14ac:dyDescent="0.2">
      <c r="A469" s="68" t="s">
        <v>8803</v>
      </c>
      <c r="B469" s="68" t="s">
        <v>8817</v>
      </c>
      <c r="C469" s="88">
        <v>323</v>
      </c>
      <c r="D469" s="73" t="s">
        <v>8835</v>
      </c>
      <c r="E469" s="155" t="s">
        <v>3721</v>
      </c>
      <c r="F469" s="74">
        <v>43454</v>
      </c>
      <c r="G469" s="95">
        <v>113.42</v>
      </c>
      <c r="H469" s="63"/>
      <c r="I469" s="63"/>
      <c r="J469" s="63"/>
      <c r="K469" s="63"/>
      <c r="L469" s="63"/>
      <c r="M469" s="63"/>
      <c r="N469" s="63"/>
      <c r="O469" s="63"/>
      <c r="P469" s="63"/>
      <c r="Q469" s="63">
        <f t="shared" si="27"/>
        <v>113.42</v>
      </c>
      <c r="R469" s="63">
        <f t="shared" si="28"/>
        <v>0</v>
      </c>
      <c r="S469" s="63">
        <f t="shared" si="29"/>
        <v>113.42</v>
      </c>
    </row>
    <row r="470" spans="1:19" s="77" customFormat="1" ht="12" x14ac:dyDescent="0.2">
      <c r="A470" s="68" t="s">
        <v>8803</v>
      </c>
      <c r="B470" s="68" t="s">
        <v>8817</v>
      </c>
      <c r="C470" s="88">
        <v>323</v>
      </c>
      <c r="D470" s="73" t="s">
        <v>8836</v>
      </c>
      <c r="E470" s="155" t="s">
        <v>3721</v>
      </c>
      <c r="F470" s="74">
        <v>43454</v>
      </c>
      <c r="G470" s="95">
        <v>78.959999999999994</v>
      </c>
      <c r="H470" s="63"/>
      <c r="I470" s="63"/>
      <c r="J470" s="63"/>
      <c r="K470" s="63"/>
      <c r="L470" s="63"/>
      <c r="M470" s="63"/>
      <c r="N470" s="63"/>
      <c r="O470" s="63"/>
      <c r="P470" s="63"/>
      <c r="Q470" s="63">
        <f t="shared" si="27"/>
        <v>78.959999999999994</v>
      </c>
      <c r="R470" s="63">
        <f t="shared" si="28"/>
        <v>0</v>
      </c>
      <c r="S470" s="63">
        <f t="shared" si="29"/>
        <v>78.959999999999994</v>
      </c>
    </row>
    <row r="471" spans="1:19" s="77" customFormat="1" ht="12" x14ac:dyDescent="0.2">
      <c r="A471" s="68" t="s">
        <v>8804</v>
      </c>
      <c r="B471" s="68" t="s">
        <v>8818</v>
      </c>
      <c r="C471" s="88">
        <v>324</v>
      </c>
      <c r="D471" s="73" t="s">
        <v>8837</v>
      </c>
      <c r="E471" s="155" t="s">
        <v>3721</v>
      </c>
      <c r="F471" s="74">
        <v>43455</v>
      </c>
      <c r="G471" s="95">
        <v>83.42</v>
      </c>
      <c r="H471" s="63"/>
      <c r="I471" s="63"/>
      <c r="J471" s="63"/>
      <c r="K471" s="63"/>
      <c r="L471" s="63"/>
      <c r="M471" s="63"/>
      <c r="N471" s="63"/>
      <c r="O471" s="63"/>
      <c r="P471" s="63"/>
      <c r="Q471" s="63">
        <f t="shared" si="27"/>
        <v>83.42</v>
      </c>
      <c r="R471" s="63">
        <f t="shared" si="28"/>
        <v>0</v>
      </c>
      <c r="S471" s="63">
        <f t="shared" si="29"/>
        <v>83.42</v>
      </c>
    </row>
    <row r="472" spans="1:19" s="77" customFormat="1" ht="12" x14ac:dyDescent="0.2">
      <c r="A472" s="68" t="s">
        <v>8804</v>
      </c>
      <c r="B472" s="68" t="s">
        <v>8818</v>
      </c>
      <c r="C472" s="88">
        <v>324</v>
      </c>
      <c r="D472" s="73" t="s">
        <v>8838</v>
      </c>
      <c r="E472" s="155" t="s">
        <v>3721</v>
      </c>
      <c r="F472" s="74">
        <v>43455</v>
      </c>
      <c r="G472" s="95">
        <v>83</v>
      </c>
      <c r="H472" s="63"/>
      <c r="I472" s="63"/>
      <c r="J472" s="63"/>
      <c r="K472" s="63"/>
      <c r="L472" s="63"/>
      <c r="M472" s="63"/>
      <c r="N472" s="63"/>
      <c r="O472" s="63"/>
      <c r="P472" s="63"/>
      <c r="Q472" s="63">
        <f t="shared" si="27"/>
        <v>83</v>
      </c>
      <c r="R472" s="63">
        <f t="shared" si="28"/>
        <v>0</v>
      </c>
      <c r="S472" s="63">
        <f t="shared" si="29"/>
        <v>83</v>
      </c>
    </row>
    <row r="473" spans="1:19" s="77" customFormat="1" ht="12" x14ac:dyDescent="0.2">
      <c r="A473" s="68" t="s">
        <v>8804</v>
      </c>
      <c r="B473" s="68" t="s">
        <v>8818</v>
      </c>
      <c r="C473" s="88">
        <v>324</v>
      </c>
      <c r="D473" s="73" t="s">
        <v>8839</v>
      </c>
      <c r="E473" s="155" t="s">
        <v>3721</v>
      </c>
      <c r="F473" s="74">
        <v>43455</v>
      </c>
      <c r="G473" s="95">
        <v>144.04</v>
      </c>
      <c r="H473" s="63"/>
      <c r="I473" s="63"/>
      <c r="J473" s="63"/>
      <c r="K473" s="63"/>
      <c r="L473" s="63"/>
      <c r="M473" s="63"/>
      <c r="N473" s="63"/>
      <c r="O473" s="63"/>
      <c r="P473" s="63"/>
      <c r="Q473" s="63">
        <f t="shared" si="27"/>
        <v>144.04</v>
      </c>
      <c r="R473" s="63">
        <f t="shared" si="28"/>
        <v>0</v>
      </c>
      <c r="S473" s="63">
        <f t="shared" si="29"/>
        <v>144.04</v>
      </c>
    </row>
    <row r="474" spans="1:19" s="77" customFormat="1" ht="12" x14ac:dyDescent="0.2">
      <c r="A474" s="68" t="s">
        <v>8805</v>
      </c>
      <c r="B474" s="68" t="s">
        <v>8819</v>
      </c>
      <c r="C474" s="88">
        <v>325</v>
      </c>
      <c r="D474" s="73" t="s">
        <v>8840</v>
      </c>
      <c r="E474" s="155" t="s">
        <v>3721</v>
      </c>
      <c r="F474" s="74">
        <v>43455</v>
      </c>
      <c r="G474" s="95">
        <v>217.42</v>
      </c>
      <c r="H474" s="63"/>
      <c r="I474" s="63"/>
      <c r="J474" s="63"/>
      <c r="K474" s="63"/>
      <c r="L474" s="63"/>
      <c r="M474" s="63"/>
      <c r="N474" s="63"/>
      <c r="O474" s="63"/>
      <c r="P474" s="63"/>
      <c r="Q474" s="63">
        <f t="shared" si="27"/>
        <v>217.42</v>
      </c>
      <c r="R474" s="63">
        <f t="shared" si="28"/>
        <v>0</v>
      </c>
      <c r="S474" s="63">
        <f t="shared" si="29"/>
        <v>217.42</v>
      </c>
    </row>
    <row r="475" spans="1:19" s="77" customFormat="1" ht="12" x14ac:dyDescent="0.2">
      <c r="A475" s="68" t="s">
        <v>8842</v>
      </c>
      <c r="B475" s="68" t="s">
        <v>8852</v>
      </c>
      <c r="C475" s="88">
        <v>326</v>
      </c>
      <c r="D475" s="73" t="s">
        <v>8841</v>
      </c>
      <c r="E475" s="155" t="s">
        <v>3721</v>
      </c>
      <c r="F475" s="74">
        <v>43457</v>
      </c>
      <c r="G475" s="95">
        <v>137</v>
      </c>
      <c r="H475" s="63"/>
      <c r="I475" s="63"/>
      <c r="J475" s="63"/>
      <c r="K475" s="63"/>
      <c r="L475" s="63"/>
      <c r="M475" s="63"/>
      <c r="N475" s="63"/>
      <c r="O475" s="63"/>
      <c r="P475" s="63"/>
      <c r="Q475" s="63">
        <f t="shared" si="27"/>
        <v>137</v>
      </c>
      <c r="R475" s="63">
        <f t="shared" si="28"/>
        <v>0</v>
      </c>
      <c r="S475" s="63">
        <f t="shared" si="29"/>
        <v>137</v>
      </c>
    </row>
    <row r="476" spans="1:19" s="77" customFormat="1" ht="12" x14ac:dyDescent="0.2">
      <c r="A476" s="68" t="s">
        <v>8843</v>
      </c>
      <c r="B476" s="68" t="s">
        <v>8853</v>
      </c>
      <c r="C476" s="88">
        <v>327</v>
      </c>
      <c r="D476" s="73" t="s">
        <v>8862</v>
      </c>
      <c r="E476" s="155" t="s">
        <v>3721</v>
      </c>
      <c r="F476" s="74">
        <v>43458</v>
      </c>
      <c r="G476" s="95">
        <v>313.64</v>
      </c>
      <c r="H476" s="63"/>
      <c r="I476" s="63"/>
      <c r="J476" s="63"/>
      <c r="K476" s="63"/>
      <c r="L476" s="63"/>
      <c r="M476" s="63"/>
      <c r="N476" s="63"/>
      <c r="O476" s="63"/>
      <c r="P476" s="63"/>
      <c r="Q476" s="63">
        <f t="shared" si="27"/>
        <v>313.64</v>
      </c>
      <c r="R476" s="63">
        <f t="shared" si="28"/>
        <v>0</v>
      </c>
      <c r="S476" s="63">
        <f t="shared" si="29"/>
        <v>313.64</v>
      </c>
    </row>
    <row r="477" spans="1:19" s="77" customFormat="1" ht="12" x14ac:dyDescent="0.2">
      <c r="A477" s="68" t="s">
        <v>8844</v>
      </c>
      <c r="B477" s="68" t="s">
        <v>8854</v>
      </c>
      <c r="C477" s="88">
        <v>328</v>
      </c>
      <c r="D477" s="73" t="s">
        <v>8863</v>
      </c>
      <c r="E477" s="155" t="s">
        <v>3721</v>
      </c>
      <c r="F477" s="74">
        <v>43459</v>
      </c>
      <c r="G477" s="95"/>
      <c r="H477" s="63"/>
      <c r="I477" s="63"/>
      <c r="J477" s="63"/>
      <c r="K477" s="63"/>
      <c r="L477" s="63"/>
      <c r="M477" s="63"/>
      <c r="N477" s="63"/>
      <c r="O477" s="63"/>
      <c r="P477" s="63"/>
      <c r="Q477" s="63">
        <f t="shared" si="27"/>
        <v>0</v>
      </c>
      <c r="R477" s="63">
        <f t="shared" si="28"/>
        <v>0</v>
      </c>
      <c r="S477" s="63">
        <f t="shared" si="29"/>
        <v>0</v>
      </c>
    </row>
    <row r="478" spans="1:19" s="77" customFormat="1" ht="12" x14ac:dyDescent="0.2">
      <c r="A478" s="68" t="s">
        <v>8844</v>
      </c>
      <c r="B478" s="68" t="s">
        <v>8854</v>
      </c>
      <c r="C478" s="88">
        <v>328</v>
      </c>
      <c r="D478" s="73" t="s">
        <v>8864</v>
      </c>
      <c r="E478" s="165" t="s">
        <v>19</v>
      </c>
      <c r="F478" s="74">
        <v>43459</v>
      </c>
      <c r="G478" s="95">
        <v>115.42</v>
      </c>
      <c r="H478" s="63"/>
      <c r="I478" s="63"/>
      <c r="J478" s="63"/>
      <c r="K478" s="63"/>
      <c r="L478" s="63"/>
      <c r="M478" s="63"/>
      <c r="N478" s="63"/>
      <c r="O478" s="63"/>
      <c r="P478" s="63"/>
      <c r="Q478" s="63">
        <f t="shared" si="27"/>
        <v>115.42</v>
      </c>
      <c r="R478" s="63">
        <f t="shared" si="28"/>
        <v>0</v>
      </c>
      <c r="S478" s="63">
        <f t="shared" si="29"/>
        <v>115.42</v>
      </c>
    </row>
    <row r="479" spans="1:19" s="77" customFormat="1" ht="12" x14ac:dyDescent="0.2">
      <c r="A479" s="68" t="s">
        <v>8845</v>
      </c>
      <c r="B479" s="68" t="s">
        <v>8855</v>
      </c>
      <c r="C479" s="88">
        <v>329</v>
      </c>
      <c r="D479" s="73" t="s">
        <v>8865</v>
      </c>
      <c r="E479" s="165" t="s">
        <v>19</v>
      </c>
      <c r="F479" s="74">
        <v>43460</v>
      </c>
      <c r="G479" s="95">
        <f>300+373.9</f>
        <v>673.9</v>
      </c>
      <c r="H479" s="63"/>
      <c r="I479" s="63"/>
      <c r="J479" s="63"/>
      <c r="K479" s="63"/>
      <c r="L479" s="63"/>
      <c r="M479" s="63"/>
      <c r="N479" s="63"/>
      <c r="O479" s="63"/>
      <c r="P479" s="63"/>
      <c r="Q479" s="63">
        <f t="shared" si="27"/>
        <v>673.9</v>
      </c>
      <c r="R479" s="63">
        <f t="shared" si="28"/>
        <v>0</v>
      </c>
      <c r="S479" s="63">
        <f t="shared" si="29"/>
        <v>673.9</v>
      </c>
    </row>
    <row r="480" spans="1:19" s="77" customFormat="1" ht="12" x14ac:dyDescent="0.2">
      <c r="A480" s="68" t="s">
        <v>8845</v>
      </c>
      <c r="B480" s="68" t="s">
        <v>8855</v>
      </c>
      <c r="C480" s="88">
        <v>329</v>
      </c>
      <c r="D480" s="73" t="s">
        <v>8866</v>
      </c>
      <c r="E480" s="165" t="s">
        <v>19</v>
      </c>
      <c r="F480" s="74">
        <v>43460</v>
      </c>
      <c r="G480" s="95">
        <v>48</v>
      </c>
      <c r="H480" s="63"/>
      <c r="I480" s="63"/>
      <c r="J480" s="63"/>
      <c r="K480" s="63"/>
      <c r="L480" s="63"/>
      <c r="M480" s="63"/>
      <c r="N480" s="63"/>
      <c r="O480" s="63"/>
      <c r="P480" s="63"/>
      <c r="Q480" s="63">
        <f t="shared" si="27"/>
        <v>48</v>
      </c>
      <c r="R480" s="63">
        <f t="shared" si="28"/>
        <v>0</v>
      </c>
      <c r="S480" s="63">
        <f t="shared" si="29"/>
        <v>48</v>
      </c>
    </row>
    <row r="481" spans="1:19" s="77" customFormat="1" ht="12" x14ac:dyDescent="0.2">
      <c r="A481" s="68" t="s">
        <v>8845</v>
      </c>
      <c r="B481" s="68" t="s">
        <v>8855</v>
      </c>
      <c r="C481" s="88">
        <v>329</v>
      </c>
      <c r="D481" s="73" t="s">
        <v>8867</v>
      </c>
      <c r="E481" s="165" t="s">
        <v>19</v>
      </c>
      <c r="F481" s="74">
        <v>43460</v>
      </c>
      <c r="G481" s="95">
        <v>62.3</v>
      </c>
      <c r="H481" s="63"/>
      <c r="I481" s="63"/>
      <c r="J481" s="63"/>
      <c r="K481" s="63"/>
      <c r="L481" s="63"/>
      <c r="M481" s="63"/>
      <c r="N481" s="63"/>
      <c r="O481" s="63"/>
      <c r="P481" s="63"/>
      <c r="Q481" s="63">
        <f t="shared" si="27"/>
        <v>62.3</v>
      </c>
      <c r="R481" s="63">
        <f t="shared" si="28"/>
        <v>0</v>
      </c>
      <c r="S481" s="63">
        <f t="shared" si="29"/>
        <v>62.3</v>
      </c>
    </row>
    <row r="482" spans="1:19" s="77" customFormat="1" ht="12" x14ac:dyDescent="0.2">
      <c r="A482" s="68" t="s">
        <v>8845</v>
      </c>
      <c r="B482" s="68" t="s">
        <v>8855</v>
      </c>
      <c r="C482" s="88">
        <v>329</v>
      </c>
      <c r="D482" s="73" t="s">
        <v>8868</v>
      </c>
      <c r="E482" s="165" t="s">
        <v>19</v>
      </c>
      <c r="F482" s="74">
        <v>43460</v>
      </c>
      <c r="G482" s="95">
        <v>40</v>
      </c>
      <c r="H482" s="63"/>
      <c r="I482" s="63"/>
      <c r="J482" s="63"/>
      <c r="K482" s="63"/>
      <c r="L482" s="63"/>
      <c r="M482" s="63"/>
      <c r="N482" s="63"/>
      <c r="O482" s="63"/>
      <c r="P482" s="63"/>
      <c r="Q482" s="63">
        <f t="shared" si="27"/>
        <v>40</v>
      </c>
      <c r="R482" s="63">
        <f t="shared" si="28"/>
        <v>0</v>
      </c>
      <c r="S482" s="63">
        <f t="shared" si="29"/>
        <v>40</v>
      </c>
    </row>
    <row r="483" spans="1:19" s="77" customFormat="1" ht="12" x14ac:dyDescent="0.2">
      <c r="A483" s="68" t="s">
        <v>8845</v>
      </c>
      <c r="B483" s="68" t="s">
        <v>8855</v>
      </c>
      <c r="C483" s="88">
        <v>329</v>
      </c>
      <c r="D483" s="73" t="s">
        <v>8869</v>
      </c>
      <c r="E483" s="165" t="s">
        <v>19</v>
      </c>
      <c r="F483" s="74">
        <v>43460</v>
      </c>
      <c r="G483" s="95">
        <v>40</v>
      </c>
      <c r="H483" s="63"/>
      <c r="I483" s="63"/>
      <c r="J483" s="63"/>
      <c r="K483" s="63"/>
      <c r="L483" s="63"/>
      <c r="M483" s="63"/>
      <c r="N483" s="63"/>
      <c r="O483" s="63"/>
      <c r="P483" s="63"/>
      <c r="Q483" s="63">
        <f t="shared" si="27"/>
        <v>40</v>
      </c>
      <c r="R483" s="63">
        <f t="shared" si="28"/>
        <v>0</v>
      </c>
      <c r="S483" s="63">
        <f t="shared" si="29"/>
        <v>40</v>
      </c>
    </row>
    <row r="484" spans="1:19" s="77" customFormat="1" ht="12" x14ac:dyDescent="0.2">
      <c r="A484" s="68" t="s">
        <v>8846</v>
      </c>
      <c r="B484" s="68" t="s">
        <v>8856</v>
      </c>
      <c r="C484" s="88">
        <v>330</v>
      </c>
      <c r="D484" s="73" t="s">
        <v>8870</v>
      </c>
      <c r="E484" s="165" t="s">
        <v>19</v>
      </c>
      <c r="F484" s="74">
        <v>43460</v>
      </c>
      <c r="G484" s="95">
        <v>436.56</v>
      </c>
      <c r="H484" s="63"/>
      <c r="I484" s="63"/>
      <c r="J484" s="63"/>
      <c r="K484" s="63"/>
      <c r="L484" s="63"/>
      <c r="M484" s="63"/>
      <c r="N484" s="63"/>
      <c r="O484" s="63"/>
      <c r="P484" s="63"/>
      <c r="Q484" s="63">
        <f t="shared" si="27"/>
        <v>436.56</v>
      </c>
      <c r="R484" s="63">
        <f t="shared" si="28"/>
        <v>0</v>
      </c>
      <c r="S484" s="63">
        <f t="shared" si="29"/>
        <v>436.56</v>
      </c>
    </row>
    <row r="485" spans="1:19" s="77" customFormat="1" ht="12" x14ac:dyDescent="0.2">
      <c r="A485" s="68" t="s">
        <v>8847</v>
      </c>
      <c r="B485" s="68" t="s">
        <v>8857</v>
      </c>
      <c r="C485" s="88">
        <v>331</v>
      </c>
      <c r="D485" s="73" t="s">
        <v>8871</v>
      </c>
      <c r="E485" s="165" t="s">
        <v>19</v>
      </c>
      <c r="F485" s="74">
        <v>43460</v>
      </c>
      <c r="G485" s="95">
        <f>0.71+97.94</f>
        <v>98.649999999999991</v>
      </c>
      <c r="H485" s="63"/>
      <c r="I485" s="63"/>
      <c r="J485" s="63"/>
      <c r="K485" s="63"/>
      <c r="L485" s="63"/>
      <c r="M485" s="63"/>
      <c r="N485" s="63"/>
      <c r="O485" s="63"/>
      <c r="P485" s="63"/>
      <c r="Q485" s="63">
        <f t="shared" si="27"/>
        <v>98.649999999999991</v>
      </c>
      <c r="R485" s="63">
        <f t="shared" si="28"/>
        <v>0</v>
      </c>
      <c r="S485" s="63">
        <f t="shared" si="29"/>
        <v>98.649999999999991</v>
      </c>
    </row>
    <row r="486" spans="1:19" s="77" customFormat="1" ht="12" x14ac:dyDescent="0.2">
      <c r="A486" s="68" t="s">
        <v>8848</v>
      </c>
      <c r="B486" s="68" t="s">
        <v>8858</v>
      </c>
      <c r="C486" s="88">
        <v>332</v>
      </c>
      <c r="D486" s="73" t="s">
        <v>8872</v>
      </c>
      <c r="E486" s="165" t="s">
        <v>19</v>
      </c>
      <c r="F486" s="74">
        <v>43460</v>
      </c>
      <c r="G486" s="95">
        <v>2125.89</v>
      </c>
      <c r="H486" s="63"/>
      <c r="I486" s="63"/>
      <c r="J486" s="63"/>
      <c r="K486" s="63"/>
      <c r="L486" s="63"/>
      <c r="M486" s="63"/>
      <c r="N486" s="63"/>
      <c r="O486" s="63"/>
      <c r="P486" s="63"/>
      <c r="Q486" s="63">
        <f t="shared" si="27"/>
        <v>2125.89</v>
      </c>
      <c r="R486" s="63">
        <f t="shared" si="28"/>
        <v>0</v>
      </c>
      <c r="S486" s="63">
        <f t="shared" si="29"/>
        <v>2125.89</v>
      </c>
    </row>
    <row r="487" spans="1:19" s="77" customFormat="1" ht="12" x14ac:dyDescent="0.2">
      <c r="A487" s="68" t="s">
        <v>8849</v>
      </c>
      <c r="B487" s="68" t="s">
        <v>8859</v>
      </c>
      <c r="C487" s="88">
        <v>333</v>
      </c>
      <c r="D487" s="73" t="s">
        <v>8873</v>
      </c>
      <c r="E487" s="165" t="s">
        <v>19</v>
      </c>
      <c r="F487" s="74">
        <v>43462</v>
      </c>
      <c r="G487" s="95">
        <v>212.22</v>
      </c>
      <c r="H487" s="63"/>
      <c r="I487" s="63"/>
      <c r="J487" s="63"/>
      <c r="K487" s="63"/>
      <c r="L487" s="63"/>
      <c r="M487" s="63"/>
      <c r="N487" s="63"/>
      <c r="O487" s="63"/>
      <c r="P487" s="63"/>
      <c r="Q487" s="63">
        <f t="shared" si="27"/>
        <v>212.22</v>
      </c>
      <c r="R487" s="63">
        <f t="shared" si="28"/>
        <v>0</v>
      </c>
      <c r="S487" s="63">
        <f t="shared" si="29"/>
        <v>212.22</v>
      </c>
    </row>
    <row r="488" spans="1:19" s="77" customFormat="1" ht="12" x14ac:dyDescent="0.2">
      <c r="A488" s="68" t="s">
        <v>8850</v>
      </c>
      <c r="B488" s="68" t="s">
        <v>8860</v>
      </c>
      <c r="C488" s="88">
        <v>334</v>
      </c>
      <c r="D488" s="73" t="s">
        <v>8874</v>
      </c>
      <c r="E488" s="165" t="s">
        <v>19</v>
      </c>
      <c r="F488" s="74">
        <v>43462</v>
      </c>
      <c r="G488" s="95"/>
      <c r="H488" s="63"/>
      <c r="I488" s="63"/>
      <c r="J488" s="63"/>
      <c r="K488" s="63"/>
      <c r="L488" s="63"/>
      <c r="M488" s="63"/>
      <c r="N488" s="63"/>
      <c r="O488" s="63"/>
      <c r="P488" s="63"/>
      <c r="Q488" s="63">
        <f t="shared" si="27"/>
        <v>0</v>
      </c>
      <c r="R488" s="63">
        <f t="shared" si="28"/>
        <v>0</v>
      </c>
      <c r="S488" s="63">
        <f t="shared" si="29"/>
        <v>0</v>
      </c>
    </row>
    <row r="489" spans="1:19" s="77" customFormat="1" ht="12" x14ac:dyDescent="0.2">
      <c r="A489" s="68" t="s">
        <v>8851</v>
      </c>
      <c r="B489" s="68" t="s">
        <v>8861</v>
      </c>
      <c r="C489" s="88">
        <v>335</v>
      </c>
      <c r="D489" s="73" t="s">
        <v>8875</v>
      </c>
      <c r="E489" s="165" t="s">
        <v>19</v>
      </c>
      <c r="F489" s="74">
        <v>43464</v>
      </c>
      <c r="G489" s="95">
        <v>40</v>
      </c>
      <c r="H489" s="63"/>
      <c r="I489" s="63"/>
      <c r="J489" s="63"/>
      <c r="K489" s="63"/>
      <c r="L489" s="63"/>
      <c r="M489" s="63"/>
      <c r="N489" s="63"/>
      <c r="O489" s="63"/>
      <c r="P489" s="63"/>
      <c r="Q489" s="63">
        <f t="shared" si="27"/>
        <v>40</v>
      </c>
      <c r="R489" s="63">
        <f t="shared" si="28"/>
        <v>0</v>
      </c>
      <c r="S489" s="63">
        <f t="shared" si="29"/>
        <v>40</v>
      </c>
    </row>
    <row r="490" spans="1:19" s="77" customFormat="1" ht="12" x14ac:dyDescent="0.2">
      <c r="A490" s="68" t="s">
        <v>8851</v>
      </c>
      <c r="B490" s="68" t="s">
        <v>8861</v>
      </c>
      <c r="C490" s="88">
        <v>335</v>
      </c>
      <c r="D490" s="73" t="s">
        <v>8876</v>
      </c>
      <c r="E490" s="165" t="s">
        <v>19</v>
      </c>
      <c r="F490" s="74">
        <v>43464</v>
      </c>
      <c r="G490" s="95">
        <v>48</v>
      </c>
      <c r="H490" s="63"/>
      <c r="I490" s="63"/>
      <c r="J490" s="63"/>
      <c r="K490" s="63"/>
      <c r="L490" s="63"/>
      <c r="M490" s="63"/>
      <c r="N490" s="63"/>
      <c r="O490" s="63"/>
      <c r="P490" s="63"/>
      <c r="Q490" s="63">
        <f t="shared" si="27"/>
        <v>48</v>
      </c>
      <c r="R490" s="63">
        <f t="shared" si="28"/>
        <v>0</v>
      </c>
      <c r="S490" s="63">
        <f t="shared" si="29"/>
        <v>48</v>
      </c>
    </row>
    <row r="491" spans="1:19" s="77" customFormat="1" ht="12" x14ac:dyDescent="0.2">
      <c r="A491" s="68"/>
      <c r="B491" s="68"/>
      <c r="C491" s="88"/>
      <c r="D491" s="73"/>
      <c r="E491" s="68"/>
      <c r="F491" s="74"/>
      <c r="G491" s="95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77" customFormat="1" ht="12" x14ac:dyDescent="0.2">
      <c r="A492" s="72"/>
      <c r="B492" s="68"/>
      <c r="C492" s="88"/>
      <c r="D492" s="73"/>
      <c r="E492" s="68"/>
      <c r="F492" s="74"/>
      <c r="G492" s="95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77" customFormat="1" ht="12" x14ac:dyDescent="0.2">
      <c r="A493" s="72"/>
      <c r="B493" s="68"/>
      <c r="C493" s="88"/>
      <c r="D493" s="73"/>
      <c r="E493" s="68"/>
      <c r="F493" s="74"/>
      <c r="G493" s="95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77" customFormat="1" x14ac:dyDescent="0.25">
      <c r="B494" s="13"/>
      <c r="C494" s="161"/>
      <c r="D494" s="80"/>
      <c r="E494" s="162"/>
      <c r="F494"/>
      <c r="G494" s="168">
        <f>SUM(G7:G493)</f>
        <v>549149.20000000065</v>
      </c>
      <c r="H494" s="168">
        <f t="shared" ref="H494:S494" si="30">SUM(H7:H493)</f>
        <v>0</v>
      </c>
      <c r="I494" s="168">
        <f>SUM(I7:I493)</f>
        <v>170603.31</v>
      </c>
      <c r="J494" s="168">
        <f t="shared" si="30"/>
        <v>0</v>
      </c>
      <c r="K494" s="168">
        <f t="shared" si="30"/>
        <v>2490</v>
      </c>
      <c r="L494" s="168">
        <f t="shared" si="30"/>
        <v>0</v>
      </c>
      <c r="M494" s="168">
        <f t="shared" si="30"/>
        <v>33200</v>
      </c>
      <c r="N494" s="168">
        <f t="shared" si="30"/>
        <v>0</v>
      </c>
      <c r="O494" s="168">
        <f t="shared" si="30"/>
        <v>132800</v>
      </c>
      <c r="P494" s="168">
        <f t="shared" si="30"/>
        <v>0</v>
      </c>
      <c r="Q494" s="168">
        <f t="shared" si="30"/>
        <v>888242.51000000094</v>
      </c>
      <c r="R494" s="168">
        <f t="shared" si="30"/>
        <v>0</v>
      </c>
      <c r="S494" s="168">
        <f t="shared" si="30"/>
        <v>888242.51000000094</v>
      </c>
    </row>
  </sheetData>
  <dataConsolidate/>
  <mergeCells count="25">
    <mergeCell ref="O3:P3"/>
    <mergeCell ref="Q3:Q6"/>
    <mergeCell ref="R3:R6"/>
    <mergeCell ref="S3:S6"/>
    <mergeCell ref="L4:L6"/>
    <mergeCell ref="M4:M6"/>
    <mergeCell ref="N4:N6"/>
    <mergeCell ref="O4:O6"/>
    <mergeCell ref="P4:P6"/>
    <mergeCell ref="A2:S2"/>
    <mergeCell ref="A3:A6"/>
    <mergeCell ref="B3:B6"/>
    <mergeCell ref="C3:C6"/>
    <mergeCell ref="D3:D6"/>
    <mergeCell ref="E3:E6"/>
    <mergeCell ref="F3:F6"/>
    <mergeCell ref="G3:H3"/>
    <mergeCell ref="I3:J3"/>
    <mergeCell ref="K3:L3"/>
    <mergeCell ref="G4:G6"/>
    <mergeCell ref="H4:H6"/>
    <mergeCell ref="I4:I6"/>
    <mergeCell ref="J4:J6"/>
    <mergeCell ref="K4:K6"/>
    <mergeCell ref="M3:N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7"/>
  <sheetViews>
    <sheetView tabSelected="1" workbookViewId="0">
      <pane xSplit="3" ySplit="6" topLeftCell="G519" activePane="bottomRight" state="frozen"/>
      <selection pane="topRight" activeCell="D1" sqref="D1"/>
      <selection pane="bottomLeft" activeCell="A7" sqref="A7"/>
      <selection pane="bottomRight" activeCell="D316" sqref="D316"/>
    </sheetView>
  </sheetViews>
  <sheetFormatPr baseColWidth="10" defaultRowHeight="15" x14ac:dyDescent="0.25"/>
  <cols>
    <col min="3" max="3" width="6.28515625" style="154" customWidth="1"/>
    <col min="4" max="4" width="21.42578125" customWidth="1"/>
    <col min="5" max="5" width="17.5703125" style="158" customWidth="1"/>
    <col min="6" max="6" width="12.140625" customWidth="1"/>
    <col min="7" max="7" width="13.7109375" customWidth="1"/>
    <col min="8" max="8" width="13.140625" customWidth="1"/>
    <col min="9" max="9" width="13.7109375" customWidth="1"/>
    <col min="10" max="10" width="13.140625" customWidth="1"/>
    <col min="11" max="11" width="13.7109375" customWidth="1"/>
    <col min="12" max="12" width="13.140625" customWidth="1"/>
    <col min="13" max="13" width="13.7109375" customWidth="1"/>
    <col min="14" max="14" width="13.140625" customWidth="1"/>
    <col min="15" max="15" width="13.7109375" customWidth="1"/>
    <col min="16" max="16" width="13.140625" customWidth="1"/>
    <col min="17" max="19" width="12.5703125" customWidth="1"/>
  </cols>
  <sheetData>
    <row r="1" spans="1:19" s="77" customFormat="1" ht="10.5" customHeight="1" thickBot="1" x14ac:dyDescent="0.25">
      <c r="A1" s="102"/>
      <c r="B1" s="71"/>
      <c r="C1" s="153"/>
      <c r="D1" s="73"/>
      <c r="E1" s="156"/>
      <c r="F1" s="134"/>
      <c r="G1" s="128"/>
      <c r="H1" s="128"/>
      <c r="I1" s="128"/>
      <c r="J1" s="128"/>
      <c r="K1" s="94"/>
      <c r="L1" s="94"/>
      <c r="M1" s="94"/>
      <c r="N1" s="94"/>
      <c r="O1" s="94"/>
      <c r="P1" s="94"/>
      <c r="Q1" s="94"/>
      <c r="R1" s="94"/>
      <c r="S1" s="94"/>
    </row>
    <row r="2" spans="1:19" s="77" customFormat="1" ht="16.5" thickBot="1" x14ac:dyDescent="0.25">
      <c r="A2" s="198" t="s">
        <v>9393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200"/>
    </row>
    <row r="3" spans="1:19" s="159" customFormat="1" ht="27.75" customHeight="1" x14ac:dyDescent="0.25">
      <c r="A3" s="201" t="s">
        <v>0</v>
      </c>
      <c r="B3" s="202" t="s">
        <v>1</v>
      </c>
      <c r="C3" s="203" t="s">
        <v>2</v>
      </c>
      <c r="D3" s="204" t="s">
        <v>3</v>
      </c>
      <c r="E3" s="205" t="s">
        <v>4</v>
      </c>
      <c r="F3" s="208" t="s">
        <v>5</v>
      </c>
      <c r="G3" s="209" t="s">
        <v>6</v>
      </c>
      <c r="H3" s="209"/>
      <c r="I3" s="209" t="s">
        <v>7</v>
      </c>
      <c r="J3" s="209"/>
      <c r="K3" s="210" t="s">
        <v>8</v>
      </c>
      <c r="L3" s="210"/>
      <c r="M3" s="210" t="s">
        <v>9</v>
      </c>
      <c r="N3" s="210"/>
      <c r="O3" s="210" t="s">
        <v>10</v>
      </c>
      <c r="P3" s="210"/>
      <c r="Q3" s="215" t="s">
        <v>11</v>
      </c>
      <c r="R3" s="215" t="s">
        <v>12</v>
      </c>
      <c r="S3" s="217" t="s">
        <v>13</v>
      </c>
    </row>
    <row r="4" spans="1:19" s="159" customFormat="1" ht="12" x14ac:dyDescent="0.25">
      <c r="A4" s="201"/>
      <c r="B4" s="202"/>
      <c r="C4" s="203"/>
      <c r="D4" s="204"/>
      <c r="E4" s="206"/>
      <c r="F4" s="208"/>
      <c r="G4" s="211" t="s">
        <v>14</v>
      </c>
      <c r="H4" s="203" t="s">
        <v>15</v>
      </c>
      <c r="I4" s="211" t="s">
        <v>14</v>
      </c>
      <c r="J4" s="211" t="s">
        <v>15</v>
      </c>
      <c r="K4" s="213" t="s">
        <v>14</v>
      </c>
      <c r="L4" s="211" t="s">
        <v>15</v>
      </c>
      <c r="M4" s="211" t="s">
        <v>14</v>
      </c>
      <c r="N4" s="211" t="s">
        <v>15</v>
      </c>
      <c r="O4" s="211" t="s">
        <v>14</v>
      </c>
      <c r="P4" s="211" t="s">
        <v>15</v>
      </c>
      <c r="Q4" s="211"/>
      <c r="R4" s="211"/>
      <c r="S4" s="218"/>
    </row>
    <row r="5" spans="1:19" s="159" customFormat="1" ht="12" x14ac:dyDescent="0.25">
      <c r="A5" s="201"/>
      <c r="B5" s="202"/>
      <c r="C5" s="203"/>
      <c r="D5" s="204"/>
      <c r="E5" s="206"/>
      <c r="F5" s="208"/>
      <c r="G5" s="211"/>
      <c r="H5" s="203"/>
      <c r="I5" s="211"/>
      <c r="J5" s="211"/>
      <c r="K5" s="213"/>
      <c r="L5" s="211"/>
      <c r="M5" s="211"/>
      <c r="N5" s="211"/>
      <c r="O5" s="211"/>
      <c r="P5" s="211"/>
      <c r="Q5" s="211"/>
      <c r="R5" s="211"/>
      <c r="S5" s="218"/>
    </row>
    <row r="6" spans="1:19" s="159" customFormat="1" ht="12" x14ac:dyDescent="0.25">
      <c r="A6" s="201"/>
      <c r="B6" s="202"/>
      <c r="C6" s="203"/>
      <c r="D6" s="204"/>
      <c r="E6" s="207"/>
      <c r="F6" s="208"/>
      <c r="G6" s="211"/>
      <c r="H6" s="212"/>
      <c r="I6" s="211"/>
      <c r="J6" s="211"/>
      <c r="K6" s="214"/>
      <c r="L6" s="216"/>
      <c r="M6" s="216"/>
      <c r="N6" s="216"/>
      <c r="O6" s="216"/>
      <c r="P6" s="216"/>
      <c r="Q6" s="216"/>
      <c r="R6" s="216"/>
      <c r="S6" s="219"/>
    </row>
    <row r="7" spans="1:19" s="77" customFormat="1" ht="12" x14ac:dyDescent="0.2">
      <c r="A7" s="85">
        <v>146427</v>
      </c>
      <c r="B7" s="85" t="s">
        <v>7057</v>
      </c>
      <c r="C7" s="88">
        <v>1</v>
      </c>
      <c r="D7" s="86" t="s">
        <v>7083</v>
      </c>
      <c r="E7" s="157" t="s">
        <v>19</v>
      </c>
      <c r="F7" s="87">
        <v>42736</v>
      </c>
      <c r="G7" s="95">
        <f>70.18</f>
        <v>70.180000000000007</v>
      </c>
      <c r="H7" s="63"/>
      <c r="I7" s="63"/>
      <c r="J7" s="63"/>
      <c r="K7" s="133"/>
      <c r="L7" s="63"/>
      <c r="M7" s="63"/>
      <c r="N7" s="63"/>
      <c r="O7" s="63"/>
      <c r="P7" s="63"/>
      <c r="Q7" s="63">
        <f>+G7+I7+K7+M7+O7</f>
        <v>70.180000000000007</v>
      </c>
      <c r="R7" s="63">
        <f>+H7+J7+L7+N7+P7</f>
        <v>0</v>
      </c>
      <c r="S7" s="63">
        <f>+Q7+R7</f>
        <v>70.180000000000007</v>
      </c>
    </row>
    <row r="8" spans="1:19" s="77" customFormat="1" ht="12" x14ac:dyDescent="0.2">
      <c r="A8" s="85">
        <v>140414</v>
      </c>
      <c r="B8" s="85" t="s">
        <v>7058</v>
      </c>
      <c r="C8" s="88">
        <v>2</v>
      </c>
      <c r="D8" s="86" t="s">
        <v>7084</v>
      </c>
      <c r="E8" s="157" t="s">
        <v>19</v>
      </c>
      <c r="F8" s="74">
        <v>42736</v>
      </c>
      <c r="G8" s="95">
        <f>132.87</f>
        <v>132.87</v>
      </c>
      <c r="H8" s="63"/>
      <c r="I8" s="63"/>
      <c r="J8" s="63"/>
      <c r="K8" s="133"/>
      <c r="L8" s="63"/>
      <c r="M8" s="63"/>
      <c r="N8" s="63"/>
      <c r="O8" s="63"/>
      <c r="P8" s="63"/>
      <c r="Q8" s="63">
        <f t="shared" ref="Q8:Q14" si="0">+G8+I8+K8+M8+O8</f>
        <v>132.87</v>
      </c>
      <c r="R8" s="63">
        <f t="shared" ref="R8:R14" si="1">+H8+J8+L8+N8+P8</f>
        <v>0</v>
      </c>
      <c r="S8" s="63">
        <f t="shared" ref="S8:S14" si="2">+Q8+R8</f>
        <v>132.87</v>
      </c>
    </row>
    <row r="9" spans="1:19" s="77" customFormat="1" ht="12" x14ac:dyDescent="0.2">
      <c r="A9" s="85">
        <v>140414</v>
      </c>
      <c r="B9" s="85" t="s">
        <v>7058</v>
      </c>
      <c r="C9" s="88">
        <v>2</v>
      </c>
      <c r="D9" s="86" t="s">
        <v>7085</v>
      </c>
      <c r="E9" s="157" t="s">
        <v>19</v>
      </c>
      <c r="F9" s="74">
        <v>42736</v>
      </c>
      <c r="G9" s="95">
        <f>47.2+48.12</f>
        <v>95.32</v>
      </c>
      <c r="H9" s="63"/>
      <c r="I9" s="63"/>
      <c r="J9" s="63"/>
      <c r="K9" s="133"/>
      <c r="L9" s="63"/>
      <c r="M9" s="63"/>
      <c r="N9" s="63"/>
      <c r="O9" s="63"/>
      <c r="P9" s="63"/>
      <c r="Q9" s="63">
        <f t="shared" si="0"/>
        <v>95.32</v>
      </c>
      <c r="R9" s="63">
        <f t="shared" si="1"/>
        <v>0</v>
      </c>
      <c r="S9" s="63">
        <f t="shared" si="2"/>
        <v>95.32</v>
      </c>
    </row>
    <row r="10" spans="1:19" s="77" customFormat="1" ht="12" x14ac:dyDescent="0.2">
      <c r="A10" s="85">
        <v>140414</v>
      </c>
      <c r="B10" s="85" t="s">
        <v>7058</v>
      </c>
      <c r="C10" s="88">
        <v>2</v>
      </c>
      <c r="D10" s="86" t="s">
        <v>7086</v>
      </c>
      <c r="E10" s="157" t="s">
        <v>19</v>
      </c>
      <c r="F10" s="74">
        <v>42736</v>
      </c>
      <c r="G10" s="95"/>
      <c r="H10" s="63"/>
      <c r="I10" s="63"/>
      <c r="J10" s="63"/>
      <c r="K10" s="133"/>
      <c r="L10" s="63"/>
      <c r="M10" s="63"/>
      <c r="N10" s="63"/>
      <c r="O10" s="63"/>
      <c r="P10" s="63"/>
      <c r="Q10" s="63">
        <f t="shared" si="0"/>
        <v>0</v>
      </c>
      <c r="R10" s="63">
        <f t="shared" si="1"/>
        <v>0</v>
      </c>
      <c r="S10" s="63">
        <f t="shared" si="2"/>
        <v>0</v>
      </c>
    </row>
    <row r="11" spans="1:19" s="77" customFormat="1" ht="12" x14ac:dyDescent="0.2">
      <c r="A11" s="85">
        <v>140414</v>
      </c>
      <c r="B11" s="85" t="s">
        <v>7058</v>
      </c>
      <c r="C11" s="88">
        <v>2</v>
      </c>
      <c r="D11" s="86" t="s">
        <v>7087</v>
      </c>
      <c r="E11" s="157" t="s">
        <v>19</v>
      </c>
      <c r="F11" s="74">
        <v>42736</v>
      </c>
      <c r="G11" s="95">
        <v>47.2</v>
      </c>
      <c r="H11" s="63"/>
      <c r="I11" s="63"/>
      <c r="J11" s="63"/>
      <c r="K11" s="133"/>
      <c r="L11" s="63"/>
      <c r="M11" s="63"/>
      <c r="N11" s="63"/>
      <c r="O11" s="63"/>
      <c r="P11" s="63"/>
      <c r="Q11" s="63">
        <f t="shared" si="0"/>
        <v>47.2</v>
      </c>
      <c r="R11" s="63">
        <f t="shared" si="1"/>
        <v>0</v>
      </c>
      <c r="S11" s="63">
        <f t="shared" si="2"/>
        <v>47.2</v>
      </c>
    </row>
    <row r="12" spans="1:19" s="77" customFormat="1" ht="12" x14ac:dyDescent="0.2">
      <c r="A12" s="85">
        <v>134636</v>
      </c>
      <c r="B12" s="85" t="s">
        <v>1625</v>
      </c>
      <c r="C12" s="88">
        <v>3</v>
      </c>
      <c r="D12" s="86" t="s">
        <v>7088</v>
      </c>
      <c r="E12" s="157" t="s">
        <v>19</v>
      </c>
      <c r="F12" s="74">
        <v>42736</v>
      </c>
      <c r="G12" s="95">
        <v>660</v>
      </c>
      <c r="H12" s="63"/>
      <c r="I12" s="63">
        <v>141.66999999999999</v>
      </c>
      <c r="J12" s="63"/>
      <c r="K12" s="133"/>
      <c r="L12" s="63"/>
      <c r="M12" s="63"/>
      <c r="N12" s="63"/>
      <c r="O12" s="63"/>
      <c r="P12" s="63"/>
      <c r="Q12" s="63">
        <f t="shared" si="0"/>
        <v>801.67</v>
      </c>
      <c r="R12" s="63">
        <f t="shared" si="1"/>
        <v>0</v>
      </c>
      <c r="S12" s="63">
        <f t="shared" si="2"/>
        <v>801.67</v>
      </c>
    </row>
    <row r="13" spans="1:19" s="77" customFormat="1" ht="12" x14ac:dyDescent="0.2">
      <c r="A13" s="85">
        <v>131364</v>
      </c>
      <c r="B13" s="85" t="s">
        <v>7059</v>
      </c>
      <c r="C13" s="88">
        <v>4</v>
      </c>
      <c r="D13" s="86" t="s">
        <v>7089</v>
      </c>
      <c r="E13" s="157" t="s">
        <v>19</v>
      </c>
      <c r="F13" s="74">
        <v>42736</v>
      </c>
      <c r="G13" s="95">
        <f>240+107.31+740.6+41.3+482.5+41.3+69.51+518.71+236.6+41.3+332.92+69.51+312.09</f>
        <v>3233.6500000000005</v>
      </c>
      <c r="H13" s="63"/>
      <c r="I13" s="63">
        <f>850+850+566.67+850+425</f>
        <v>3541.67</v>
      </c>
      <c r="J13" s="63"/>
      <c r="K13" s="133"/>
      <c r="L13" s="63"/>
      <c r="M13" s="160"/>
      <c r="N13" s="63"/>
      <c r="O13" s="63"/>
      <c r="P13" s="63"/>
      <c r="Q13" s="63">
        <f t="shared" si="0"/>
        <v>6775.3200000000006</v>
      </c>
      <c r="R13" s="63">
        <f t="shared" si="1"/>
        <v>0</v>
      </c>
      <c r="S13" s="63">
        <f t="shared" si="2"/>
        <v>6775.3200000000006</v>
      </c>
    </row>
    <row r="14" spans="1:19" s="77" customFormat="1" ht="12" x14ac:dyDescent="0.2">
      <c r="A14" s="85">
        <v>140682</v>
      </c>
      <c r="B14" s="85" t="s">
        <v>7060</v>
      </c>
      <c r="C14" s="88">
        <v>5</v>
      </c>
      <c r="D14" s="86" t="s">
        <v>7090</v>
      </c>
      <c r="E14" s="157" t="s">
        <v>19</v>
      </c>
      <c r="F14" s="74">
        <v>42738</v>
      </c>
      <c r="G14" s="95">
        <f>7665.36+90.62+75.99+75.99+75.99+75.99+75.99+353.75+75.99+457.9+75.99+332.92+75.99+2524.17+41.3+75.99</f>
        <v>12149.929999999997</v>
      </c>
      <c r="H14" s="63"/>
      <c r="I14" s="63">
        <f>3400</f>
        <v>3400</v>
      </c>
      <c r="J14" s="63"/>
      <c r="K14" s="133"/>
      <c r="L14" s="63"/>
      <c r="M14" s="63"/>
      <c r="N14" s="63"/>
      <c r="O14" s="63"/>
      <c r="P14" s="63"/>
      <c r="Q14" s="63">
        <f t="shared" si="0"/>
        <v>15549.929999999997</v>
      </c>
      <c r="R14" s="63">
        <f t="shared" si="1"/>
        <v>0</v>
      </c>
      <c r="S14" s="63">
        <f t="shared" si="2"/>
        <v>15549.929999999997</v>
      </c>
    </row>
    <row r="15" spans="1:19" s="77" customFormat="1" ht="12" x14ac:dyDescent="0.2">
      <c r="A15" s="85">
        <v>147696</v>
      </c>
      <c r="B15" s="85" t="s">
        <v>7061</v>
      </c>
      <c r="C15" s="88">
        <v>6</v>
      </c>
      <c r="D15" s="86" t="s">
        <v>7091</v>
      </c>
      <c r="E15" s="157" t="s">
        <v>19</v>
      </c>
      <c r="F15" s="74">
        <v>42742</v>
      </c>
      <c r="G15" s="95">
        <f>142.54+41.3+78.19+41.3</f>
        <v>303.33</v>
      </c>
      <c r="H15" s="63"/>
      <c r="I15" s="63">
        <f>722.5+722.5</f>
        <v>1445</v>
      </c>
      <c r="J15" s="63"/>
      <c r="K15" s="133"/>
      <c r="L15" s="63"/>
      <c r="M15" s="63"/>
      <c r="N15" s="63"/>
      <c r="O15" s="63"/>
      <c r="P15" s="63"/>
      <c r="Q15" s="63">
        <f t="shared" ref="Q15:Q78" si="3">+G15+I15+K15+M15+O15</f>
        <v>1748.33</v>
      </c>
      <c r="R15" s="63">
        <f t="shared" ref="R15:R78" si="4">+H15+J15+L15+N15+P15</f>
        <v>0</v>
      </c>
      <c r="S15" s="63">
        <f t="shared" ref="S15:S78" si="5">+Q15+R15</f>
        <v>1748.33</v>
      </c>
    </row>
    <row r="16" spans="1:19" s="77" customFormat="1" ht="12" x14ac:dyDescent="0.2">
      <c r="A16" s="85">
        <v>135869</v>
      </c>
      <c r="B16" s="85" t="s">
        <v>7062</v>
      </c>
      <c r="C16" s="88">
        <v>7</v>
      </c>
      <c r="D16" s="86" t="s">
        <v>7092</v>
      </c>
      <c r="E16" s="157" t="s">
        <v>19</v>
      </c>
      <c r="F16" s="74">
        <v>42744</v>
      </c>
      <c r="G16" s="95">
        <f>101.08+113.99</f>
        <v>215.07</v>
      </c>
      <c r="H16" s="63"/>
      <c r="I16" s="63"/>
      <c r="J16" s="63"/>
      <c r="K16" s="133"/>
      <c r="L16" s="63"/>
      <c r="M16" s="63"/>
      <c r="N16" s="63"/>
      <c r="O16" s="63"/>
      <c r="P16" s="63"/>
      <c r="Q16" s="63">
        <f t="shared" si="3"/>
        <v>215.07</v>
      </c>
      <c r="R16" s="63">
        <f t="shared" si="4"/>
        <v>0</v>
      </c>
      <c r="S16" s="63">
        <f t="shared" si="5"/>
        <v>215.07</v>
      </c>
    </row>
    <row r="17" spans="1:19" s="77" customFormat="1" ht="12" x14ac:dyDescent="0.2">
      <c r="A17" s="85">
        <v>146737</v>
      </c>
      <c r="B17" s="85" t="s">
        <v>7063</v>
      </c>
      <c r="C17" s="88">
        <v>8</v>
      </c>
      <c r="D17" s="86" t="s">
        <v>7093</v>
      </c>
      <c r="E17" s="157" t="s">
        <v>19</v>
      </c>
      <c r="F17" s="74">
        <v>42744</v>
      </c>
      <c r="G17" s="95">
        <f>78</f>
        <v>78</v>
      </c>
      <c r="H17" s="63"/>
      <c r="I17" s="63"/>
      <c r="J17" s="63"/>
      <c r="K17" s="133"/>
      <c r="L17" s="63"/>
      <c r="M17" s="63"/>
      <c r="N17" s="63"/>
      <c r="O17" s="63"/>
      <c r="P17" s="63"/>
      <c r="Q17" s="63">
        <f t="shared" si="3"/>
        <v>78</v>
      </c>
      <c r="R17" s="63">
        <f t="shared" si="4"/>
        <v>0</v>
      </c>
      <c r="S17" s="63">
        <f t="shared" si="5"/>
        <v>78</v>
      </c>
    </row>
    <row r="18" spans="1:19" s="77" customFormat="1" ht="12" x14ac:dyDescent="0.2">
      <c r="A18" s="85">
        <v>130987</v>
      </c>
      <c r="B18" s="85" t="s">
        <v>7064</v>
      </c>
      <c r="C18" s="88">
        <v>9</v>
      </c>
      <c r="D18" s="86" t="s">
        <v>7094</v>
      </c>
      <c r="E18" s="157" t="s">
        <v>19</v>
      </c>
      <c r="F18" s="74">
        <v>42744</v>
      </c>
      <c r="G18" s="95">
        <v>0</v>
      </c>
      <c r="H18" s="63"/>
      <c r="I18" s="63">
        <v>283.33</v>
      </c>
      <c r="J18" s="63"/>
      <c r="K18" s="133"/>
      <c r="L18" s="63"/>
      <c r="M18" s="63"/>
      <c r="N18" s="63"/>
      <c r="O18" s="63"/>
      <c r="P18" s="63"/>
      <c r="Q18" s="63">
        <f t="shared" si="3"/>
        <v>283.33</v>
      </c>
      <c r="R18" s="63">
        <f t="shared" si="4"/>
        <v>0</v>
      </c>
      <c r="S18" s="63">
        <f t="shared" si="5"/>
        <v>283.33</v>
      </c>
    </row>
    <row r="19" spans="1:19" s="77" customFormat="1" ht="12" x14ac:dyDescent="0.2">
      <c r="A19" s="85">
        <v>146957</v>
      </c>
      <c r="B19" s="85" t="s">
        <v>7065</v>
      </c>
      <c r="C19" s="88">
        <v>10</v>
      </c>
      <c r="D19" s="86" t="s">
        <v>7095</v>
      </c>
      <c r="E19" s="155" t="s">
        <v>7127</v>
      </c>
      <c r="F19" s="74">
        <v>42746</v>
      </c>
      <c r="G19" s="95">
        <f>288.6</f>
        <v>288.60000000000002</v>
      </c>
      <c r="H19" s="63"/>
      <c r="I19" s="63"/>
      <c r="J19" s="63"/>
      <c r="K19" s="133"/>
      <c r="L19" s="63"/>
      <c r="M19" s="63"/>
      <c r="N19" s="63"/>
      <c r="O19" s="63"/>
      <c r="P19" s="63"/>
      <c r="Q19" s="63">
        <f t="shared" si="3"/>
        <v>288.60000000000002</v>
      </c>
      <c r="R19" s="63">
        <f t="shared" si="4"/>
        <v>0</v>
      </c>
      <c r="S19" s="63">
        <f t="shared" si="5"/>
        <v>288.60000000000002</v>
      </c>
    </row>
    <row r="20" spans="1:19" s="77" customFormat="1" ht="12" x14ac:dyDescent="0.2">
      <c r="A20" s="85">
        <v>146054</v>
      </c>
      <c r="B20" s="85" t="s">
        <v>7066</v>
      </c>
      <c r="C20" s="88">
        <v>11</v>
      </c>
      <c r="D20" s="86" t="s">
        <v>7096</v>
      </c>
      <c r="E20" s="155" t="s">
        <v>7127</v>
      </c>
      <c r="F20" s="74">
        <v>42747</v>
      </c>
      <c r="G20" s="95">
        <f>144+72.5</f>
        <v>216.5</v>
      </c>
      <c r="H20" s="63"/>
      <c r="I20" s="63"/>
      <c r="J20" s="63"/>
      <c r="K20" s="133"/>
      <c r="L20" s="63"/>
      <c r="M20" s="63"/>
      <c r="N20" s="63"/>
      <c r="O20" s="63"/>
      <c r="P20" s="63"/>
      <c r="Q20" s="63">
        <f t="shared" si="3"/>
        <v>216.5</v>
      </c>
      <c r="R20" s="63">
        <f t="shared" si="4"/>
        <v>0</v>
      </c>
      <c r="S20" s="63">
        <f t="shared" si="5"/>
        <v>216.5</v>
      </c>
    </row>
    <row r="21" spans="1:19" s="77" customFormat="1" ht="12" x14ac:dyDescent="0.2">
      <c r="A21" s="85">
        <v>146054</v>
      </c>
      <c r="B21" s="85" t="s">
        <v>7066</v>
      </c>
      <c r="C21" s="88">
        <v>11</v>
      </c>
      <c r="D21" s="86" t="s">
        <v>7097</v>
      </c>
      <c r="E21" s="155" t="s">
        <v>7127</v>
      </c>
      <c r="F21" s="74">
        <v>42747</v>
      </c>
      <c r="G21" s="95">
        <f>41.3+41.3+41.3+63+60+37+5924</f>
        <v>6207.9</v>
      </c>
      <c r="H21" s="63"/>
      <c r="I21" s="63">
        <f>2521.67+850</f>
        <v>3371.67</v>
      </c>
      <c r="J21" s="63"/>
      <c r="K21" s="133"/>
      <c r="L21" s="63"/>
      <c r="M21" s="63"/>
      <c r="N21" s="63"/>
      <c r="O21" s="63"/>
      <c r="P21" s="63"/>
      <c r="Q21" s="63">
        <f t="shared" si="3"/>
        <v>9579.57</v>
      </c>
      <c r="R21" s="63">
        <f t="shared" si="4"/>
        <v>0</v>
      </c>
      <c r="S21" s="63">
        <f t="shared" si="5"/>
        <v>9579.57</v>
      </c>
    </row>
    <row r="22" spans="1:19" s="77" customFormat="1" ht="12" x14ac:dyDescent="0.2">
      <c r="A22" s="85">
        <v>147892</v>
      </c>
      <c r="B22" s="85" t="s">
        <v>7067</v>
      </c>
      <c r="C22" s="88">
        <v>12</v>
      </c>
      <c r="D22" s="86" t="s">
        <v>7098</v>
      </c>
      <c r="E22" s="157" t="s">
        <v>19</v>
      </c>
      <c r="F22" s="74">
        <v>42747</v>
      </c>
      <c r="G22" s="95">
        <f>547.78+17.94+139.69+59+3465.21+84.09+1240+35+109.19+105.58+562+800+17.95+109.18+109.18</f>
        <v>7401.79</v>
      </c>
      <c r="H22" s="63"/>
      <c r="I22" s="63">
        <v>4050</v>
      </c>
      <c r="J22" s="63"/>
      <c r="K22" s="133"/>
      <c r="L22" s="63"/>
      <c r="M22" s="63"/>
      <c r="N22" s="63"/>
      <c r="O22" s="63"/>
      <c r="P22" s="63"/>
      <c r="Q22" s="63">
        <f t="shared" si="3"/>
        <v>11451.79</v>
      </c>
      <c r="R22" s="63">
        <f t="shared" si="4"/>
        <v>0</v>
      </c>
      <c r="S22" s="63">
        <f t="shared" si="5"/>
        <v>11451.79</v>
      </c>
    </row>
    <row r="23" spans="1:19" s="77" customFormat="1" ht="12" x14ac:dyDescent="0.2">
      <c r="A23" s="85">
        <v>146200</v>
      </c>
      <c r="B23" s="85" t="s">
        <v>7068</v>
      </c>
      <c r="C23" s="88">
        <v>13</v>
      </c>
      <c r="D23" s="86" t="s">
        <v>7099</v>
      </c>
      <c r="E23" s="157" t="s">
        <v>19</v>
      </c>
      <c r="F23" s="74">
        <v>42747</v>
      </c>
      <c r="G23" s="95">
        <f>172.9</f>
        <v>172.9</v>
      </c>
      <c r="H23" s="63"/>
      <c r="I23" s="63"/>
      <c r="J23" s="63"/>
      <c r="K23" s="133"/>
      <c r="L23" s="63"/>
      <c r="M23" s="63"/>
      <c r="N23" s="63"/>
      <c r="O23" s="63"/>
      <c r="P23" s="63"/>
      <c r="Q23" s="63">
        <f t="shared" si="3"/>
        <v>172.9</v>
      </c>
      <c r="R23" s="63">
        <f t="shared" si="4"/>
        <v>0</v>
      </c>
      <c r="S23" s="63">
        <f t="shared" si="5"/>
        <v>172.9</v>
      </c>
    </row>
    <row r="24" spans="1:19" s="77" customFormat="1" ht="12" x14ac:dyDescent="0.2">
      <c r="A24" s="85">
        <v>137750</v>
      </c>
      <c r="B24" s="85" t="s">
        <v>7069</v>
      </c>
      <c r="C24" s="88">
        <v>14</v>
      </c>
      <c r="D24" s="86" t="s">
        <v>7100</v>
      </c>
      <c r="E24" s="157" t="s">
        <v>19</v>
      </c>
      <c r="F24" s="74">
        <v>42747</v>
      </c>
      <c r="G24" s="95">
        <v>130.69999999999999</v>
      </c>
      <c r="H24" s="63"/>
      <c r="I24" s="63"/>
      <c r="J24" s="63"/>
      <c r="K24" s="133"/>
      <c r="L24" s="63"/>
      <c r="M24" s="63"/>
      <c r="N24" s="63"/>
      <c r="O24" s="63"/>
      <c r="P24" s="63"/>
      <c r="Q24" s="63">
        <f t="shared" si="3"/>
        <v>130.69999999999999</v>
      </c>
      <c r="R24" s="63">
        <f t="shared" si="4"/>
        <v>0</v>
      </c>
      <c r="S24" s="63">
        <f t="shared" si="5"/>
        <v>130.69999999999999</v>
      </c>
    </row>
    <row r="25" spans="1:19" s="77" customFormat="1" ht="12" x14ac:dyDescent="0.2">
      <c r="A25" s="85">
        <v>137750</v>
      </c>
      <c r="B25" s="85" t="s">
        <v>7069</v>
      </c>
      <c r="C25" s="88">
        <v>14</v>
      </c>
      <c r="D25" s="86" t="s">
        <v>7101</v>
      </c>
      <c r="E25" s="157" t="s">
        <v>19</v>
      </c>
      <c r="F25" s="74">
        <v>42747</v>
      </c>
      <c r="G25" s="95">
        <f>110.7</f>
        <v>110.7</v>
      </c>
      <c r="H25" s="63"/>
      <c r="I25" s="63"/>
      <c r="J25" s="63"/>
      <c r="K25" s="133"/>
      <c r="L25" s="63"/>
      <c r="M25" s="63"/>
      <c r="N25" s="63"/>
      <c r="O25" s="63"/>
      <c r="P25" s="63"/>
      <c r="Q25" s="63">
        <f t="shared" si="3"/>
        <v>110.7</v>
      </c>
      <c r="R25" s="63">
        <f t="shared" si="4"/>
        <v>0</v>
      </c>
      <c r="S25" s="63">
        <f t="shared" si="5"/>
        <v>110.7</v>
      </c>
    </row>
    <row r="26" spans="1:19" s="77" customFormat="1" ht="12" x14ac:dyDescent="0.2">
      <c r="A26" s="85">
        <v>134185</v>
      </c>
      <c r="B26" s="85" t="s">
        <v>2628</v>
      </c>
      <c r="C26" s="88">
        <v>15</v>
      </c>
      <c r="D26" s="86" t="s">
        <v>7102</v>
      </c>
      <c r="E26" s="157" t="s">
        <v>19</v>
      </c>
      <c r="F26" s="74">
        <v>42748</v>
      </c>
      <c r="G26" s="95">
        <f>210.37+73.93+134.11</f>
        <v>418.41</v>
      </c>
      <c r="H26" s="63"/>
      <c r="I26" s="63"/>
      <c r="J26" s="63"/>
      <c r="K26" s="133"/>
      <c r="L26" s="63"/>
      <c r="M26" s="63"/>
      <c r="N26" s="63"/>
      <c r="O26" s="63"/>
      <c r="P26" s="63"/>
      <c r="Q26" s="63">
        <f t="shared" si="3"/>
        <v>418.41</v>
      </c>
      <c r="R26" s="63">
        <f t="shared" si="4"/>
        <v>0</v>
      </c>
      <c r="S26" s="63">
        <f t="shared" si="5"/>
        <v>418.41</v>
      </c>
    </row>
    <row r="27" spans="1:19" s="77" customFormat="1" ht="12" x14ac:dyDescent="0.2">
      <c r="A27" s="85">
        <v>145602</v>
      </c>
      <c r="B27" s="85" t="s">
        <v>7070</v>
      </c>
      <c r="C27" s="88">
        <v>16</v>
      </c>
      <c r="D27" s="86" t="s">
        <v>7103</v>
      </c>
      <c r="E27" s="157" t="s">
        <v>19</v>
      </c>
      <c r="F27" s="74">
        <v>42748</v>
      </c>
      <c r="G27" s="95">
        <f>40</f>
        <v>40</v>
      </c>
      <c r="H27" s="63"/>
      <c r="I27" s="63"/>
      <c r="J27" s="63"/>
      <c r="K27" s="133"/>
      <c r="L27" s="63"/>
      <c r="M27" s="63"/>
      <c r="N27" s="63"/>
      <c r="O27" s="63"/>
      <c r="P27" s="63"/>
      <c r="Q27" s="63">
        <f t="shared" si="3"/>
        <v>40</v>
      </c>
      <c r="R27" s="63">
        <f t="shared" si="4"/>
        <v>0</v>
      </c>
      <c r="S27" s="63">
        <f t="shared" si="5"/>
        <v>40</v>
      </c>
    </row>
    <row r="28" spans="1:19" s="77" customFormat="1" ht="12" x14ac:dyDescent="0.2">
      <c r="A28" s="85">
        <v>135658</v>
      </c>
      <c r="B28" s="85" t="s">
        <v>7071</v>
      </c>
      <c r="C28" s="88">
        <v>17</v>
      </c>
      <c r="D28" s="86" t="s">
        <v>7104</v>
      </c>
      <c r="E28" s="155" t="s">
        <v>7127</v>
      </c>
      <c r="F28" s="74">
        <v>42750</v>
      </c>
      <c r="G28" s="95">
        <f>4767.81+13718+650+119.8</f>
        <v>19255.61</v>
      </c>
      <c r="H28" s="63"/>
      <c r="I28" s="63"/>
      <c r="J28" s="63"/>
      <c r="K28" s="133"/>
      <c r="L28" s="63"/>
      <c r="M28" s="63"/>
      <c r="N28" s="63"/>
      <c r="O28" s="63"/>
      <c r="P28" s="63"/>
      <c r="Q28" s="63">
        <f t="shared" si="3"/>
        <v>19255.61</v>
      </c>
      <c r="R28" s="63">
        <f t="shared" si="4"/>
        <v>0</v>
      </c>
      <c r="S28" s="63">
        <f t="shared" si="5"/>
        <v>19255.61</v>
      </c>
    </row>
    <row r="29" spans="1:19" s="77" customFormat="1" ht="12" x14ac:dyDescent="0.2">
      <c r="A29" s="85">
        <v>142046</v>
      </c>
      <c r="B29" s="85" t="s">
        <v>7072</v>
      </c>
      <c r="C29" s="88">
        <v>18</v>
      </c>
      <c r="D29" s="86" t="s">
        <v>7105</v>
      </c>
      <c r="E29" s="157" t="s">
        <v>19</v>
      </c>
      <c r="F29" s="74">
        <v>42751</v>
      </c>
      <c r="G29" s="95">
        <v>40</v>
      </c>
      <c r="H29" s="63"/>
      <c r="I29" s="63"/>
      <c r="J29" s="63"/>
      <c r="K29" s="133"/>
      <c r="L29" s="63"/>
      <c r="M29" s="63"/>
      <c r="N29" s="63"/>
      <c r="O29" s="63"/>
      <c r="P29" s="63"/>
      <c r="Q29" s="63">
        <f t="shared" si="3"/>
        <v>40</v>
      </c>
      <c r="R29" s="63">
        <f t="shared" si="4"/>
        <v>0</v>
      </c>
      <c r="S29" s="63">
        <f t="shared" si="5"/>
        <v>40</v>
      </c>
    </row>
    <row r="30" spans="1:19" s="77" customFormat="1" ht="12" x14ac:dyDescent="0.2">
      <c r="A30" s="85">
        <v>142046</v>
      </c>
      <c r="B30" s="85" t="s">
        <v>7072</v>
      </c>
      <c r="C30" s="88">
        <v>18</v>
      </c>
      <c r="D30" s="86" t="s">
        <v>7106</v>
      </c>
      <c r="E30" s="157" t="s">
        <v>19</v>
      </c>
      <c r="F30" s="74">
        <v>42751</v>
      </c>
      <c r="G30" s="95">
        <v>40.06</v>
      </c>
      <c r="H30" s="63"/>
      <c r="I30" s="63"/>
      <c r="J30" s="63"/>
      <c r="K30" s="133"/>
      <c r="L30" s="63"/>
      <c r="M30" s="63"/>
      <c r="N30" s="63"/>
      <c r="O30" s="63"/>
      <c r="P30" s="63"/>
      <c r="Q30" s="63">
        <f t="shared" si="3"/>
        <v>40.06</v>
      </c>
      <c r="R30" s="63">
        <f t="shared" si="4"/>
        <v>0</v>
      </c>
      <c r="S30" s="63">
        <f t="shared" si="5"/>
        <v>40.06</v>
      </c>
    </row>
    <row r="31" spans="1:19" s="77" customFormat="1" ht="12" x14ac:dyDescent="0.2">
      <c r="A31" s="85">
        <v>142046</v>
      </c>
      <c r="B31" s="85" t="s">
        <v>7072</v>
      </c>
      <c r="C31" s="88">
        <v>18</v>
      </c>
      <c r="D31" s="86" t="s">
        <v>7107</v>
      </c>
      <c r="E31" s="157" t="s">
        <v>19</v>
      </c>
      <c r="F31" s="74">
        <v>42751</v>
      </c>
      <c r="G31" s="95">
        <v>72.06</v>
      </c>
      <c r="H31" s="63"/>
      <c r="I31" s="63"/>
      <c r="J31" s="63"/>
      <c r="K31" s="133"/>
      <c r="L31" s="63"/>
      <c r="M31" s="63"/>
      <c r="N31" s="63"/>
      <c r="O31" s="63"/>
      <c r="P31" s="63"/>
      <c r="Q31" s="63">
        <f t="shared" si="3"/>
        <v>72.06</v>
      </c>
      <c r="R31" s="63">
        <f t="shared" si="4"/>
        <v>0</v>
      </c>
      <c r="S31" s="63">
        <f t="shared" si="5"/>
        <v>72.06</v>
      </c>
    </row>
    <row r="32" spans="1:19" s="77" customFormat="1" ht="12" x14ac:dyDescent="0.2">
      <c r="A32" s="85">
        <v>142046</v>
      </c>
      <c r="B32" s="85" t="s">
        <v>7072</v>
      </c>
      <c r="C32" s="88">
        <v>18</v>
      </c>
      <c r="D32" s="86" t="s">
        <v>7108</v>
      </c>
      <c r="E32" s="157" t="s">
        <v>19</v>
      </c>
      <c r="F32" s="74">
        <v>42751</v>
      </c>
      <c r="G32" s="95">
        <v>40.18</v>
      </c>
      <c r="H32" s="63"/>
      <c r="I32" s="63"/>
      <c r="J32" s="63"/>
      <c r="K32" s="133"/>
      <c r="L32" s="63"/>
      <c r="M32" s="63"/>
      <c r="N32" s="63"/>
      <c r="O32" s="63"/>
      <c r="P32" s="63"/>
      <c r="Q32" s="63">
        <f t="shared" si="3"/>
        <v>40.18</v>
      </c>
      <c r="R32" s="63">
        <f t="shared" si="4"/>
        <v>0</v>
      </c>
      <c r="S32" s="63">
        <f t="shared" si="5"/>
        <v>40.18</v>
      </c>
    </row>
    <row r="33" spans="1:19" s="77" customFormat="1" ht="12" x14ac:dyDescent="0.2">
      <c r="A33" s="85">
        <v>144238</v>
      </c>
      <c r="B33" s="85" t="s">
        <v>7073</v>
      </c>
      <c r="C33" s="88">
        <v>19</v>
      </c>
      <c r="D33" s="86" t="s">
        <v>7109</v>
      </c>
      <c r="E33" s="157" t="s">
        <v>19</v>
      </c>
      <c r="F33" s="74">
        <v>42752</v>
      </c>
      <c r="G33" s="95">
        <v>95.93</v>
      </c>
      <c r="H33" s="63"/>
      <c r="I33" s="63"/>
      <c r="J33" s="63"/>
      <c r="K33" s="133"/>
      <c r="L33" s="63"/>
      <c r="M33" s="63"/>
      <c r="N33" s="63"/>
      <c r="O33" s="63"/>
      <c r="P33" s="63"/>
      <c r="Q33" s="63">
        <f t="shared" si="3"/>
        <v>95.93</v>
      </c>
      <c r="R33" s="63">
        <f t="shared" si="4"/>
        <v>0</v>
      </c>
      <c r="S33" s="63">
        <f t="shared" si="5"/>
        <v>95.93</v>
      </c>
    </row>
    <row r="34" spans="1:19" s="77" customFormat="1" ht="12" x14ac:dyDescent="0.2">
      <c r="A34" s="85">
        <v>137600</v>
      </c>
      <c r="B34" s="85" t="s">
        <v>7074</v>
      </c>
      <c r="C34" s="88">
        <v>20</v>
      </c>
      <c r="D34" s="86" t="s">
        <v>7110</v>
      </c>
      <c r="E34" s="157" t="s">
        <v>19</v>
      </c>
      <c r="F34" s="74">
        <v>42756</v>
      </c>
      <c r="G34" s="95">
        <f>40.6</f>
        <v>40.6</v>
      </c>
      <c r="H34" s="63"/>
      <c r="I34" s="63"/>
      <c r="J34" s="63"/>
      <c r="K34" s="133"/>
      <c r="L34" s="63"/>
      <c r="M34" s="63"/>
      <c r="N34" s="63"/>
      <c r="O34" s="63"/>
      <c r="P34" s="63"/>
      <c r="Q34" s="63">
        <f t="shared" si="3"/>
        <v>40.6</v>
      </c>
      <c r="R34" s="63">
        <f t="shared" si="4"/>
        <v>0</v>
      </c>
      <c r="S34" s="63">
        <f t="shared" si="5"/>
        <v>40.6</v>
      </c>
    </row>
    <row r="35" spans="1:19" s="77" customFormat="1" ht="12" x14ac:dyDescent="0.2">
      <c r="A35" s="85">
        <v>137600</v>
      </c>
      <c r="B35" s="85" t="s">
        <v>7074</v>
      </c>
      <c r="C35" s="88">
        <v>20</v>
      </c>
      <c r="D35" s="86" t="s">
        <v>7111</v>
      </c>
      <c r="E35" s="157" t="s">
        <v>19</v>
      </c>
      <c r="F35" s="74">
        <v>42756</v>
      </c>
      <c r="G35" s="95">
        <f>89.5</f>
        <v>89.5</v>
      </c>
      <c r="H35" s="63"/>
      <c r="I35" s="63"/>
      <c r="J35" s="63"/>
      <c r="K35" s="133"/>
      <c r="L35" s="63"/>
      <c r="M35" s="63"/>
      <c r="N35" s="63"/>
      <c r="O35" s="63"/>
      <c r="P35" s="63"/>
      <c r="Q35" s="63">
        <f t="shared" si="3"/>
        <v>89.5</v>
      </c>
      <c r="R35" s="63">
        <f t="shared" si="4"/>
        <v>0</v>
      </c>
      <c r="S35" s="63">
        <f t="shared" si="5"/>
        <v>89.5</v>
      </c>
    </row>
    <row r="36" spans="1:19" s="77" customFormat="1" ht="12" x14ac:dyDescent="0.2">
      <c r="A36" s="85">
        <v>134796</v>
      </c>
      <c r="B36" s="85" t="s">
        <v>7075</v>
      </c>
      <c r="C36" s="88">
        <v>21</v>
      </c>
      <c r="D36" s="86" t="s">
        <v>7112</v>
      </c>
      <c r="E36" s="157" t="s">
        <v>19</v>
      </c>
      <c r="F36" s="74">
        <v>42756</v>
      </c>
      <c r="G36" s="95">
        <f>558+141.5+1374.9+212</f>
        <v>2286.4</v>
      </c>
      <c r="H36" s="63"/>
      <c r="I36" s="63">
        <f>850+850+850+878.33</f>
        <v>3428.33</v>
      </c>
      <c r="J36" s="63"/>
      <c r="K36" s="133"/>
      <c r="L36" s="63"/>
      <c r="M36" s="63"/>
      <c r="N36" s="63"/>
      <c r="O36" s="63"/>
      <c r="P36" s="63"/>
      <c r="Q36" s="63">
        <f t="shared" si="3"/>
        <v>5714.73</v>
      </c>
      <c r="R36" s="63">
        <f t="shared" si="4"/>
        <v>0</v>
      </c>
      <c r="S36" s="63">
        <f t="shared" si="5"/>
        <v>5714.73</v>
      </c>
    </row>
    <row r="37" spans="1:19" s="77" customFormat="1" ht="12" x14ac:dyDescent="0.2">
      <c r="A37" s="85">
        <v>136602</v>
      </c>
      <c r="B37" s="85" t="s">
        <v>7076</v>
      </c>
      <c r="C37" s="88">
        <v>22</v>
      </c>
      <c r="D37" s="86" t="s">
        <v>7114</v>
      </c>
      <c r="E37" s="157" t="s">
        <v>19</v>
      </c>
      <c r="F37" s="74">
        <v>42756</v>
      </c>
      <c r="G37" s="95">
        <f>181</f>
        <v>181</v>
      </c>
      <c r="H37" s="63"/>
      <c r="I37" s="63"/>
      <c r="J37" s="63"/>
      <c r="K37" s="133"/>
      <c r="L37" s="63"/>
      <c r="M37" s="63"/>
      <c r="N37" s="63"/>
      <c r="O37" s="63"/>
      <c r="P37" s="63"/>
      <c r="Q37" s="63">
        <f t="shared" si="3"/>
        <v>181</v>
      </c>
      <c r="R37" s="63">
        <f t="shared" si="4"/>
        <v>0</v>
      </c>
      <c r="S37" s="63">
        <f t="shared" si="5"/>
        <v>181</v>
      </c>
    </row>
    <row r="38" spans="1:19" s="77" customFormat="1" ht="12" x14ac:dyDescent="0.2">
      <c r="A38" s="85">
        <v>136602</v>
      </c>
      <c r="B38" s="85" t="s">
        <v>7076</v>
      </c>
      <c r="C38" s="88">
        <v>22</v>
      </c>
      <c r="D38" s="86" t="s">
        <v>7113</v>
      </c>
      <c r="E38" s="157" t="s">
        <v>19</v>
      </c>
      <c r="F38" s="74">
        <v>42756</v>
      </c>
      <c r="G38" s="95">
        <v>40</v>
      </c>
      <c r="H38" s="63"/>
      <c r="I38" s="63"/>
      <c r="J38" s="63"/>
      <c r="K38" s="133"/>
      <c r="L38" s="63"/>
      <c r="M38" s="63"/>
      <c r="N38" s="63"/>
      <c r="O38" s="63"/>
      <c r="P38" s="63"/>
      <c r="Q38" s="63">
        <f t="shared" si="3"/>
        <v>40</v>
      </c>
      <c r="R38" s="63">
        <f t="shared" si="4"/>
        <v>0</v>
      </c>
      <c r="S38" s="63">
        <f t="shared" si="5"/>
        <v>40</v>
      </c>
    </row>
    <row r="39" spans="1:19" s="77" customFormat="1" ht="12" x14ac:dyDescent="0.2">
      <c r="A39" s="85">
        <v>136602</v>
      </c>
      <c r="B39" s="85" t="s">
        <v>7076</v>
      </c>
      <c r="C39" s="88">
        <v>22</v>
      </c>
      <c r="D39" s="86" t="s">
        <v>7115</v>
      </c>
      <c r="E39" s="157" t="s">
        <v>19</v>
      </c>
      <c r="F39" s="74">
        <v>42756</v>
      </c>
      <c r="G39" s="95">
        <f>48.5</f>
        <v>48.5</v>
      </c>
      <c r="H39" s="63"/>
      <c r="I39" s="63"/>
      <c r="J39" s="63"/>
      <c r="K39" s="133"/>
      <c r="L39" s="63"/>
      <c r="M39" s="63"/>
      <c r="N39" s="63"/>
      <c r="O39" s="63"/>
      <c r="P39" s="63"/>
      <c r="Q39" s="63">
        <f t="shared" si="3"/>
        <v>48.5</v>
      </c>
      <c r="R39" s="63">
        <f t="shared" si="4"/>
        <v>0</v>
      </c>
      <c r="S39" s="63">
        <f t="shared" si="5"/>
        <v>48.5</v>
      </c>
    </row>
    <row r="40" spans="1:19" s="77" customFormat="1" ht="12" x14ac:dyDescent="0.2">
      <c r="A40" s="85">
        <v>136421</v>
      </c>
      <c r="B40" s="85" t="s">
        <v>7077</v>
      </c>
      <c r="C40" s="88">
        <v>23</v>
      </c>
      <c r="D40" s="86" t="s">
        <v>7116</v>
      </c>
      <c r="E40" s="157" t="s">
        <v>19</v>
      </c>
      <c r="F40" s="74">
        <v>42758</v>
      </c>
      <c r="G40" s="95">
        <f>204.99+73.93+492.15+73.33+558+463.8+288.6+148.76+62.11+249.44+245.25+41.3+156.17+156.77+41.3+156.77+96.93+3412+198.82+75.99+96.93+3825.82+41.3+75.83+96.93+96.93+260+260+260+41.3+41.3+96.69+335</f>
        <v>12724.439999999999</v>
      </c>
      <c r="H40" s="63"/>
      <c r="I40" s="63">
        <f>850+2323.33+850+26.67</f>
        <v>4050</v>
      </c>
      <c r="J40" s="63"/>
      <c r="K40" s="133"/>
      <c r="L40" s="63"/>
      <c r="M40" s="63"/>
      <c r="N40" s="63"/>
      <c r="O40" s="63"/>
      <c r="P40" s="63"/>
      <c r="Q40" s="63">
        <f t="shared" si="3"/>
        <v>16774.439999999999</v>
      </c>
      <c r="R40" s="63">
        <f t="shared" si="4"/>
        <v>0</v>
      </c>
      <c r="S40" s="63">
        <f t="shared" si="5"/>
        <v>16774.439999999999</v>
      </c>
    </row>
    <row r="41" spans="1:19" s="77" customFormat="1" ht="12" x14ac:dyDescent="0.2">
      <c r="A41" s="85">
        <v>136421</v>
      </c>
      <c r="B41" s="85" t="s">
        <v>7077</v>
      </c>
      <c r="C41" s="88">
        <v>23</v>
      </c>
      <c r="D41" s="86" t="s">
        <v>7117</v>
      </c>
      <c r="E41" s="157" t="s">
        <v>19</v>
      </c>
      <c r="F41" s="74">
        <v>42758</v>
      </c>
      <c r="G41" s="95">
        <f>41.3+299.5</f>
        <v>340.8</v>
      </c>
      <c r="H41" s="63"/>
      <c r="I41" s="63"/>
      <c r="J41" s="63"/>
      <c r="K41" s="133"/>
      <c r="L41" s="63"/>
      <c r="M41" s="63"/>
      <c r="N41" s="63"/>
      <c r="O41" s="63"/>
      <c r="P41" s="63"/>
      <c r="Q41" s="63">
        <f t="shared" si="3"/>
        <v>340.8</v>
      </c>
      <c r="R41" s="63">
        <f t="shared" si="4"/>
        <v>0</v>
      </c>
      <c r="S41" s="63">
        <f t="shared" si="5"/>
        <v>340.8</v>
      </c>
    </row>
    <row r="42" spans="1:19" s="77" customFormat="1" ht="12" x14ac:dyDescent="0.2">
      <c r="A42" s="85">
        <v>136421</v>
      </c>
      <c r="B42" s="85" t="s">
        <v>7077</v>
      </c>
      <c r="C42" s="88">
        <v>23</v>
      </c>
      <c r="D42" s="86" t="s">
        <v>7118</v>
      </c>
      <c r="E42" s="157" t="s">
        <v>19</v>
      </c>
      <c r="F42" s="74">
        <v>42758</v>
      </c>
      <c r="G42" s="95">
        <f>65.35+95</f>
        <v>160.35</v>
      </c>
      <c r="H42" s="63"/>
      <c r="I42" s="63"/>
      <c r="J42" s="63"/>
      <c r="K42" s="133"/>
      <c r="L42" s="63"/>
      <c r="M42" s="63"/>
      <c r="N42" s="63"/>
      <c r="O42" s="63"/>
      <c r="P42" s="63"/>
      <c r="Q42" s="63">
        <f t="shared" si="3"/>
        <v>160.35</v>
      </c>
      <c r="R42" s="63">
        <f t="shared" si="4"/>
        <v>0</v>
      </c>
      <c r="S42" s="63">
        <f t="shared" si="5"/>
        <v>160.35</v>
      </c>
    </row>
    <row r="43" spans="1:19" s="77" customFormat="1" ht="12" x14ac:dyDescent="0.2">
      <c r="A43" s="85">
        <v>148145</v>
      </c>
      <c r="B43" s="85" t="s">
        <v>7078</v>
      </c>
      <c r="C43" s="88">
        <v>24</v>
      </c>
      <c r="D43" s="86" t="s">
        <v>7119</v>
      </c>
      <c r="E43" s="157" t="s">
        <v>19</v>
      </c>
      <c r="F43" s="74">
        <v>42759</v>
      </c>
      <c r="G43" s="95"/>
      <c r="H43" s="63"/>
      <c r="I43" s="63"/>
      <c r="J43" s="63"/>
      <c r="K43" s="133"/>
      <c r="L43" s="63"/>
      <c r="M43" s="63"/>
      <c r="N43" s="63"/>
      <c r="O43" s="63"/>
      <c r="P43" s="63"/>
      <c r="Q43" s="63">
        <f t="shared" si="3"/>
        <v>0</v>
      </c>
      <c r="R43" s="63">
        <f t="shared" si="4"/>
        <v>0</v>
      </c>
      <c r="S43" s="63">
        <f t="shared" si="5"/>
        <v>0</v>
      </c>
    </row>
    <row r="44" spans="1:19" s="77" customFormat="1" ht="12" x14ac:dyDescent="0.2">
      <c r="A44" s="85">
        <v>131936</v>
      </c>
      <c r="B44" s="85" t="s">
        <v>7079</v>
      </c>
      <c r="C44" s="88">
        <v>25</v>
      </c>
      <c r="D44" s="86" t="s">
        <v>7120</v>
      </c>
      <c r="E44" s="157" t="s">
        <v>19</v>
      </c>
      <c r="F44" s="74">
        <v>42759</v>
      </c>
      <c r="G44" s="95"/>
      <c r="H44" s="63"/>
      <c r="I44" s="63"/>
      <c r="J44" s="63"/>
      <c r="K44" s="133"/>
      <c r="L44" s="63"/>
      <c r="M44" s="63"/>
      <c r="N44" s="63"/>
      <c r="O44" s="63"/>
      <c r="P44" s="63"/>
      <c r="Q44" s="63">
        <f t="shared" si="3"/>
        <v>0</v>
      </c>
      <c r="R44" s="63">
        <f t="shared" si="4"/>
        <v>0</v>
      </c>
      <c r="S44" s="63">
        <f t="shared" si="5"/>
        <v>0</v>
      </c>
    </row>
    <row r="45" spans="1:19" s="77" customFormat="1" ht="12" x14ac:dyDescent="0.2">
      <c r="A45" s="85">
        <v>131936</v>
      </c>
      <c r="B45" s="85" t="s">
        <v>7079</v>
      </c>
      <c r="C45" s="88">
        <v>25</v>
      </c>
      <c r="D45" s="86" t="s">
        <v>7121</v>
      </c>
      <c r="E45" s="157" t="s">
        <v>19</v>
      </c>
      <c r="F45" s="74">
        <v>42759</v>
      </c>
      <c r="G45" s="95"/>
      <c r="H45" s="63"/>
      <c r="I45" s="63"/>
      <c r="J45" s="63"/>
      <c r="K45" s="133"/>
      <c r="L45" s="63"/>
      <c r="M45" s="63"/>
      <c r="N45" s="63"/>
      <c r="O45" s="63"/>
      <c r="P45" s="63"/>
      <c r="Q45" s="63">
        <f t="shared" si="3"/>
        <v>0</v>
      </c>
      <c r="R45" s="63">
        <f t="shared" si="4"/>
        <v>0</v>
      </c>
      <c r="S45" s="63">
        <f t="shared" si="5"/>
        <v>0</v>
      </c>
    </row>
    <row r="46" spans="1:19" s="77" customFormat="1" ht="12" x14ac:dyDescent="0.2">
      <c r="A46" s="85">
        <v>131936</v>
      </c>
      <c r="B46" s="85" t="s">
        <v>7079</v>
      </c>
      <c r="C46" s="88">
        <v>25</v>
      </c>
      <c r="D46" s="86" t="s">
        <v>7122</v>
      </c>
      <c r="E46" s="157" t="s">
        <v>19</v>
      </c>
      <c r="F46" s="74">
        <v>42759</v>
      </c>
      <c r="G46" s="95">
        <f>313.76</f>
        <v>313.76</v>
      </c>
      <c r="H46" s="63"/>
      <c r="I46" s="63"/>
      <c r="J46" s="63"/>
      <c r="K46" s="133"/>
      <c r="L46" s="63"/>
      <c r="M46" s="63"/>
      <c r="N46" s="63"/>
      <c r="O46" s="63"/>
      <c r="P46" s="63"/>
      <c r="Q46" s="63">
        <f t="shared" si="3"/>
        <v>313.76</v>
      </c>
      <c r="R46" s="63">
        <f t="shared" si="4"/>
        <v>0</v>
      </c>
      <c r="S46" s="63">
        <f t="shared" si="5"/>
        <v>313.76</v>
      </c>
    </row>
    <row r="47" spans="1:19" s="77" customFormat="1" ht="12" x14ac:dyDescent="0.2">
      <c r="A47" s="85">
        <v>131936</v>
      </c>
      <c r="B47" s="85" t="s">
        <v>7079</v>
      </c>
      <c r="C47" s="88">
        <v>25</v>
      </c>
      <c r="D47" s="86" t="s">
        <v>7123</v>
      </c>
      <c r="E47" s="157" t="s">
        <v>19</v>
      </c>
      <c r="F47" s="74">
        <v>42759</v>
      </c>
      <c r="G47" s="95">
        <f>41.3+99.59</f>
        <v>140.88999999999999</v>
      </c>
      <c r="H47" s="63"/>
      <c r="I47" s="63"/>
      <c r="J47" s="63"/>
      <c r="K47" s="133"/>
      <c r="L47" s="63"/>
      <c r="M47" s="63"/>
      <c r="N47" s="63"/>
      <c r="O47" s="63"/>
      <c r="P47" s="63"/>
      <c r="Q47" s="63">
        <f t="shared" si="3"/>
        <v>140.88999999999999</v>
      </c>
      <c r="R47" s="63">
        <f t="shared" si="4"/>
        <v>0</v>
      </c>
      <c r="S47" s="63">
        <f t="shared" si="5"/>
        <v>140.88999999999999</v>
      </c>
    </row>
    <row r="48" spans="1:19" s="77" customFormat="1" ht="12" x14ac:dyDescent="0.2">
      <c r="A48" s="85">
        <v>137432</v>
      </c>
      <c r="B48" s="85" t="s">
        <v>7080</v>
      </c>
      <c r="C48" s="88">
        <v>26</v>
      </c>
      <c r="D48" s="86" t="s">
        <v>7124</v>
      </c>
      <c r="E48" s="157" t="s">
        <v>19</v>
      </c>
      <c r="F48" s="74">
        <v>42763</v>
      </c>
      <c r="G48" s="95">
        <f>97.69+41.3+97.69+41.3+106.4+15329.69</f>
        <v>15714.07</v>
      </c>
      <c r="H48" s="63"/>
      <c r="I48" s="63"/>
      <c r="J48" s="63"/>
      <c r="K48" s="133"/>
      <c r="L48" s="63"/>
      <c r="M48" s="63"/>
      <c r="N48" s="63"/>
      <c r="O48" s="63"/>
      <c r="P48" s="63"/>
      <c r="Q48" s="63">
        <f t="shared" si="3"/>
        <v>15714.07</v>
      </c>
      <c r="R48" s="63">
        <f t="shared" si="4"/>
        <v>0</v>
      </c>
      <c r="S48" s="63">
        <f t="shared" si="5"/>
        <v>15714.07</v>
      </c>
    </row>
    <row r="49" spans="1:19" s="77" customFormat="1" ht="12" x14ac:dyDescent="0.2">
      <c r="A49" s="85">
        <v>133542</v>
      </c>
      <c r="B49" s="85" t="s">
        <v>7081</v>
      </c>
      <c r="C49" s="88">
        <v>27</v>
      </c>
      <c r="D49" s="86" t="s">
        <v>7125</v>
      </c>
      <c r="E49" s="157" t="s">
        <v>19</v>
      </c>
      <c r="F49" s="74">
        <v>42765</v>
      </c>
      <c r="G49" s="95">
        <f>130</f>
        <v>130</v>
      </c>
      <c r="H49" s="63"/>
      <c r="I49" s="63"/>
      <c r="J49" s="63"/>
      <c r="K49" s="133"/>
      <c r="L49" s="63"/>
      <c r="M49" s="63"/>
      <c r="N49" s="63"/>
      <c r="O49" s="63"/>
      <c r="P49" s="63"/>
      <c r="Q49" s="63">
        <f t="shared" si="3"/>
        <v>130</v>
      </c>
      <c r="R49" s="63">
        <f t="shared" si="4"/>
        <v>0</v>
      </c>
      <c r="S49" s="63">
        <f t="shared" si="5"/>
        <v>130</v>
      </c>
    </row>
    <row r="50" spans="1:19" s="77" customFormat="1" ht="12" x14ac:dyDescent="0.2">
      <c r="A50" s="85">
        <v>144669</v>
      </c>
      <c r="B50" s="85" t="s">
        <v>7082</v>
      </c>
      <c r="C50" s="88">
        <v>28</v>
      </c>
      <c r="D50" s="86" t="s">
        <v>7126</v>
      </c>
      <c r="E50" s="157" t="s">
        <v>19</v>
      </c>
      <c r="F50" s="74">
        <v>42766</v>
      </c>
      <c r="G50" s="95">
        <f>638+102.04+3561.02+276.67+50.19+100+35.9</f>
        <v>4763.8199999999988</v>
      </c>
      <c r="H50" s="63"/>
      <c r="I50" s="63">
        <f>2266.67</f>
        <v>2266.67</v>
      </c>
      <c r="J50" s="63"/>
      <c r="K50" s="133"/>
      <c r="L50" s="63"/>
      <c r="M50" s="63"/>
      <c r="N50" s="63"/>
      <c r="O50" s="63"/>
      <c r="P50" s="63"/>
      <c r="Q50" s="63">
        <f t="shared" si="3"/>
        <v>7030.4899999999989</v>
      </c>
      <c r="R50" s="63">
        <f t="shared" si="4"/>
        <v>0</v>
      </c>
      <c r="S50" s="63">
        <f t="shared" si="5"/>
        <v>7030.4899999999989</v>
      </c>
    </row>
    <row r="51" spans="1:19" s="77" customFormat="1" ht="12" x14ac:dyDescent="0.2">
      <c r="A51" s="68">
        <v>137507</v>
      </c>
      <c r="B51" s="68" t="s">
        <v>7130</v>
      </c>
      <c r="C51" s="88">
        <v>29</v>
      </c>
      <c r="D51" s="72" t="s">
        <v>7137</v>
      </c>
      <c r="E51" s="157" t="s">
        <v>19</v>
      </c>
      <c r="F51" s="74">
        <v>42770</v>
      </c>
      <c r="G51" s="95">
        <f>49</f>
        <v>49</v>
      </c>
      <c r="H51" s="63"/>
      <c r="I51" s="63"/>
      <c r="J51" s="63"/>
      <c r="K51" s="133"/>
      <c r="L51" s="63"/>
      <c r="M51" s="63"/>
      <c r="N51" s="63"/>
      <c r="O51" s="63"/>
      <c r="P51" s="63"/>
      <c r="Q51" s="63">
        <f t="shared" si="3"/>
        <v>49</v>
      </c>
      <c r="R51" s="63">
        <f t="shared" si="4"/>
        <v>0</v>
      </c>
      <c r="S51" s="63">
        <f t="shared" si="5"/>
        <v>49</v>
      </c>
    </row>
    <row r="52" spans="1:19" s="77" customFormat="1" ht="12" x14ac:dyDescent="0.2">
      <c r="A52" s="68">
        <v>137507</v>
      </c>
      <c r="B52" s="68" t="s">
        <v>7130</v>
      </c>
      <c r="C52" s="88">
        <v>29</v>
      </c>
      <c r="D52" s="72" t="s">
        <v>7138</v>
      </c>
      <c r="E52" s="157" t="s">
        <v>19</v>
      </c>
      <c r="F52" s="74">
        <v>42770</v>
      </c>
      <c r="G52" s="95">
        <f>48.2</f>
        <v>48.2</v>
      </c>
      <c r="H52" s="63"/>
      <c r="I52" s="63"/>
      <c r="J52" s="63"/>
      <c r="K52" s="133"/>
      <c r="L52" s="63"/>
      <c r="M52" s="63"/>
      <c r="N52" s="63"/>
      <c r="O52" s="63"/>
      <c r="P52" s="63"/>
      <c r="Q52" s="63">
        <f t="shared" si="3"/>
        <v>48.2</v>
      </c>
      <c r="R52" s="63">
        <f t="shared" si="4"/>
        <v>0</v>
      </c>
      <c r="S52" s="63">
        <f t="shared" si="5"/>
        <v>48.2</v>
      </c>
    </row>
    <row r="53" spans="1:19" s="77" customFormat="1" ht="12" x14ac:dyDescent="0.2">
      <c r="A53" s="68">
        <v>137507</v>
      </c>
      <c r="B53" s="68" t="s">
        <v>7130</v>
      </c>
      <c r="C53" s="88">
        <v>29</v>
      </c>
      <c r="D53" s="72" t="s">
        <v>7139</v>
      </c>
      <c r="E53" s="157" t="s">
        <v>19</v>
      </c>
      <c r="F53" s="74">
        <v>42770</v>
      </c>
      <c r="G53" s="95">
        <f>84.9</f>
        <v>84.9</v>
      </c>
      <c r="H53" s="63"/>
      <c r="I53" s="63"/>
      <c r="J53" s="63"/>
      <c r="K53" s="133"/>
      <c r="L53" s="63"/>
      <c r="M53" s="63"/>
      <c r="N53" s="63"/>
      <c r="O53" s="63"/>
      <c r="P53" s="63"/>
      <c r="Q53" s="63">
        <f t="shared" si="3"/>
        <v>84.9</v>
      </c>
      <c r="R53" s="63">
        <f t="shared" si="4"/>
        <v>0</v>
      </c>
      <c r="S53" s="63">
        <f t="shared" si="5"/>
        <v>84.9</v>
      </c>
    </row>
    <row r="54" spans="1:19" s="77" customFormat="1" ht="12" x14ac:dyDescent="0.2">
      <c r="A54" s="68">
        <v>142776</v>
      </c>
      <c r="B54" s="68" t="s">
        <v>7131</v>
      </c>
      <c r="C54" s="88">
        <v>30</v>
      </c>
      <c r="D54" s="72" t="s">
        <v>7140</v>
      </c>
      <c r="E54" s="157" t="s">
        <v>19</v>
      </c>
      <c r="F54" s="74">
        <v>42771</v>
      </c>
      <c r="G54" s="95">
        <f>49+47.2</f>
        <v>96.2</v>
      </c>
      <c r="H54" s="63"/>
      <c r="I54" s="63"/>
      <c r="J54" s="63"/>
      <c r="K54" s="133"/>
      <c r="L54" s="63"/>
      <c r="M54" s="63"/>
      <c r="N54" s="63"/>
      <c r="O54" s="63"/>
      <c r="P54" s="63"/>
      <c r="Q54" s="63">
        <f t="shared" si="3"/>
        <v>96.2</v>
      </c>
      <c r="R54" s="63">
        <f t="shared" si="4"/>
        <v>0</v>
      </c>
      <c r="S54" s="63">
        <f t="shared" si="5"/>
        <v>96.2</v>
      </c>
    </row>
    <row r="55" spans="1:19" s="77" customFormat="1" ht="12" x14ac:dyDescent="0.2">
      <c r="A55" s="68">
        <v>142776</v>
      </c>
      <c r="B55" s="68" t="s">
        <v>7131</v>
      </c>
      <c r="C55" s="88">
        <v>30</v>
      </c>
      <c r="D55" s="72" t="s">
        <v>7141</v>
      </c>
      <c r="E55" s="157" t="s">
        <v>19</v>
      </c>
      <c r="F55" s="74">
        <v>42771</v>
      </c>
      <c r="G55" s="95">
        <f>49</f>
        <v>49</v>
      </c>
      <c r="H55" s="63"/>
      <c r="I55" s="63"/>
      <c r="J55" s="63"/>
      <c r="K55" s="133"/>
      <c r="L55" s="63"/>
      <c r="M55" s="63"/>
      <c r="N55" s="63"/>
      <c r="O55" s="63"/>
      <c r="P55" s="63"/>
      <c r="Q55" s="63">
        <f t="shared" si="3"/>
        <v>49</v>
      </c>
      <c r="R55" s="63">
        <f t="shared" si="4"/>
        <v>0</v>
      </c>
      <c r="S55" s="63">
        <f t="shared" si="5"/>
        <v>49</v>
      </c>
    </row>
    <row r="56" spans="1:19" s="77" customFormat="1" ht="12" x14ac:dyDescent="0.2">
      <c r="A56" s="68">
        <v>138585</v>
      </c>
      <c r="B56" s="68" t="s">
        <v>7132</v>
      </c>
      <c r="C56" s="88">
        <v>31</v>
      </c>
      <c r="D56" s="72" t="s">
        <v>7142</v>
      </c>
      <c r="E56" s="157" t="s">
        <v>19</v>
      </c>
      <c r="F56" s="74">
        <v>42772</v>
      </c>
      <c r="G56" s="95">
        <f>1699.18+41.3+158.47</f>
        <v>1898.95</v>
      </c>
      <c r="H56" s="63"/>
      <c r="I56" s="63">
        <v>481.67</v>
      </c>
      <c r="J56" s="63"/>
      <c r="K56" s="133"/>
      <c r="L56" s="63"/>
      <c r="M56" s="63"/>
      <c r="N56" s="63"/>
      <c r="O56" s="63"/>
      <c r="P56" s="63"/>
      <c r="Q56" s="63">
        <f t="shared" si="3"/>
        <v>2380.62</v>
      </c>
      <c r="R56" s="63">
        <f t="shared" si="4"/>
        <v>0</v>
      </c>
      <c r="S56" s="63">
        <f t="shared" si="5"/>
        <v>2380.62</v>
      </c>
    </row>
    <row r="57" spans="1:19" s="77" customFormat="1" ht="12" x14ac:dyDescent="0.2">
      <c r="A57" s="68">
        <v>138585</v>
      </c>
      <c r="B57" s="68" t="s">
        <v>7132</v>
      </c>
      <c r="C57" s="88">
        <v>31</v>
      </c>
      <c r="D57" s="72" t="s">
        <v>7143</v>
      </c>
      <c r="E57" s="157" t="s">
        <v>19</v>
      </c>
      <c r="F57" s="74">
        <v>42772</v>
      </c>
      <c r="G57" s="95">
        <f>1025.03+41.3+41.3+112.77+41.3+41.3</f>
        <v>1302.9999999999998</v>
      </c>
      <c r="H57" s="63"/>
      <c r="I57" s="63">
        <v>283.33</v>
      </c>
      <c r="J57" s="63"/>
      <c r="K57" s="133"/>
      <c r="L57" s="63"/>
      <c r="M57" s="63"/>
      <c r="N57" s="63"/>
      <c r="O57" s="63"/>
      <c r="P57" s="63"/>
      <c r="Q57" s="63">
        <f t="shared" si="3"/>
        <v>1586.3299999999997</v>
      </c>
      <c r="R57" s="63">
        <f t="shared" si="4"/>
        <v>0</v>
      </c>
      <c r="S57" s="63">
        <f t="shared" si="5"/>
        <v>1586.3299999999997</v>
      </c>
    </row>
    <row r="58" spans="1:19" s="77" customFormat="1" ht="12" x14ac:dyDescent="0.2">
      <c r="A58" s="68">
        <v>142374</v>
      </c>
      <c r="B58" s="68" t="s">
        <v>7133</v>
      </c>
      <c r="C58" s="88">
        <v>32</v>
      </c>
      <c r="D58" s="72" t="s">
        <v>7144</v>
      </c>
      <c r="E58" s="155" t="s">
        <v>7127</v>
      </c>
      <c r="F58" s="74">
        <v>42773</v>
      </c>
      <c r="G58" s="95">
        <f>276+211.8</f>
        <v>487.8</v>
      </c>
      <c r="H58" s="63"/>
      <c r="I58" s="63"/>
      <c r="J58" s="63"/>
      <c r="K58" s="133"/>
      <c r="L58" s="63"/>
      <c r="M58" s="63"/>
      <c r="N58" s="63"/>
      <c r="O58" s="63"/>
      <c r="P58" s="63"/>
      <c r="Q58" s="63">
        <f t="shared" si="3"/>
        <v>487.8</v>
      </c>
      <c r="R58" s="63">
        <f t="shared" si="4"/>
        <v>0</v>
      </c>
      <c r="S58" s="63">
        <f t="shared" si="5"/>
        <v>487.8</v>
      </c>
    </row>
    <row r="59" spans="1:19" s="77" customFormat="1" ht="12" x14ac:dyDescent="0.2">
      <c r="A59" s="68">
        <v>142374</v>
      </c>
      <c r="B59" s="68" t="s">
        <v>7133</v>
      </c>
      <c r="C59" s="88">
        <v>32</v>
      </c>
      <c r="D59" s="72" t="s">
        <v>7145</v>
      </c>
      <c r="E59" s="155" t="s">
        <v>7127</v>
      </c>
      <c r="F59" s="74">
        <v>42773</v>
      </c>
      <c r="G59" s="95">
        <v>107</v>
      </c>
      <c r="H59" s="63"/>
      <c r="I59" s="63"/>
      <c r="J59" s="63"/>
      <c r="K59" s="133"/>
      <c r="L59" s="63"/>
      <c r="M59" s="63"/>
      <c r="N59" s="63"/>
      <c r="O59" s="63"/>
      <c r="P59" s="63"/>
      <c r="Q59" s="63">
        <f t="shared" si="3"/>
        <v>107</v>
      </c>
      <c r="R59" s="63">
        <f t="shared" si="4"/>
        <v>0</v>
      </c>
      <c r="S59" s="63">
        <f t="shared" si="5"/>
        <v>107</v>
      </c>
    </row>
    <row r="60" spans="1:19" s="77" customFormat="1" ht="12" x14ac:dyDescent="0.2">
      <c r="A60" s="68">
        <v>138308</v>
      </c>
      <c r="B60" s="68" t="s">
        <v>7134</v>
      </c>
      <c r="C60" s="88">
        <v>33</v>
      </c>
      <c r="D60" s="72" t="s">
        <v>7146</v>
      </c>
      <c r="E60" s="157" t="s">
        <v>19</v>
      </c>
      <c r="F60" s="74">
        <v>42774</v>
      </c>
      <c r="G60" s="95">
        <f>114.5</f>
        <v>114.5</v>
      </c>
      <c r="H60" s="63"/>
      <c r="I60" s="63"/>
      <c r="J60" s="63"/>
      <c r="K60" s="133"/>
      <c r="L60" s="63"/>
      <c r="M60" s="63"/>
      <c r="N60" s="63"/>
      <c r="O60" s="63"/>
      <c r="P60" s="63"/>
      <c r="Q60" s="63">
        <f t="shared" si="3"/>
        <v>114.5</v>
      </c>
      <c r="R60" s="63">
        <f t="shared" si="4"/>
        <v>0</v>
      </c>
      <c r="S60" s="63">
        <f t="shared" si="5"/>
        <v>114.5</v>
      </c>
    </row>
    <row r="61" spans="1:19" s="77" customFormat="1" ht="12" x14ac:dyDescent="0.2">
      <c r="A61" s="68">
        <v>148314</v>
      </c>
      <c r="B61" s="68" t="s">
        <v>7135</v>
      </c>
      <c r="C61" s="88">
        <v>34</v>
      </c>
      <c r="D61" s="72" t="s">
        <v>7147</v>
      </c>
      <c r="E61" s="157" t="s">
        <v>19</v>
      </c>
      <c r="F61" s="74">
        <v>42744</v>
      </c>
      <c r="G61" s="95">
        <f>41.3+71.65+71.65+298.1+600.38+41.3+94.7</f>
        <v>1219.08</v>
      </c>
      <c r="H61" s="63"/>
      <c r="I61" s="63">
        <f>850+850+850</f>
        <v>2550</v>
      </c>
      <c r="J61" s="63"/>
      <c r="K61" s="133"/>
      <c r="L61" s="63"/>
      <c r="M61" s="63"/>
      <c r="N61" s="63"/>
      <c r="O61" s="63"/>
      <c r="P61" s="63"/>
      <c r="Q61" s="63">
        <f t="shared" si="3"/>
        <v>3769.08</v>
      </c>
      <c r="R61" s="63">
        <f t="shared" si="4"/>
        <v>0</v>
      </c>
      <c r="S61" s="63">
        <f t="shared" si="5"/>
        <v>3769.08</v>
      </c>
    </row>
    <row r="62" spans="1:19" s="77" customFormat="1" ht="12" x14ac:dyDescent="0.2">
      <c r="A62" s="68">
        <v>145405</v>
      </c>
      <c r="B62" s="68" t="s">
        <v>7136</v>
      </c>
      <c r="C62" s="88">
        <v>35</v>
      </c>
      <c r="D62" s="72" t="s">
        <v>7148</v>
      </c>
      <c r="E62" s="157" t="s">
        <v>19</v>
      </c>
      <c r="F62" s="74">
        <v>42775</v>
      </c>
      <c r="G62" s="95">
        <f>124.44+17.95+220.68+352.41+109.66+370+59+558</f>
        <v>1812.1399999999999</v>
      </c>
      <c r="H62" s="63"/>
      <c r="I62" s="63">
        <v>2521.67</v>
      </c>
      <c r="J62" s="63"/>
      <c r="K62" s="133"/>
      <c r="L62" s="63"/>
      <c r="M62" s="63"/>
      <c r="N62" s="63"/>
      <c r="O62" s="63"/>
      <c r="P62" s="63"/>
      <c r="Q62" s="63">
        <f t="shared" si="3"/>
        <v>4333.8099999999995</v>
      </c>
      <c r="R62" s="63">
        <f t="shared" si="4"/>
        <v>0</v>
      </c>
      <c r="S62" s="63">
        <f t="shared" si="5"/>
        <v>4333.8099999999995</v>
      </c>
    </row>
    <row r="63" spans="1:19" s="77" customFormat="1" ht="12" x14ac:dyDescent="0.2">
      <c r="A63" s="68">
        <v>132796</v>
      </c>
      <c r="B63" s="68" t="s">
        <v>7150</v>
      </c>
      <c r="C63" s="88">
        <v>36</v>
      </c>
      <c r="D63" s="72" t="s">
        <v>7165</v>
      </c>
      <c r="E63" s="155" t="s">
        <v>7127</v>
      </c>
      <c r="F63" s="74">
        <v>42545</v>
      </c>
      <c r="G63" s="95"/>
      <c r="H63" s="63"/>
      <c r="I63" s="63"/>
      <c r="J63" s="63"/>
      <c r="K63" s="133"/>
      <c r="L63" s="63"/>
      <c r="M63" s="63"/>
      <c r="N63" s="63"/>
      <c r="O63" s="63"/>
      <c r="P63" s="63"/>
      <c r="Q63" s="63">
        <f t="shared" si="3"/>
        <v>0</v>
      </c>
      <c r="R63" s="63">
        <f t="shared" si="4"/>
        <v>0</v>
      </c>
      <c r="S63" s="63">
        <f t="shared" si="5"/>
        <v>0</v>
      </c>
    </row>
    <row r="64" spans="1:19" s="77" customFormat="1" ht="12" x14ac:dyDescent="0.2">
      <c r="A64" s="68">
        <v>143823</v>
      </c>
      <c r="B64" s="68" t="s">
        <v>7151</v>
      </c>
      <c r="C64" s="88">
        <v>37</v>
      </c>
      <c r="D64" s="72" t="s">
        <v>7845</v>
      </c>
      <c r="E64" s="155" t="s">
        <v>7127</v>
      </c>
      <c r="F64" s="74">
        <v>42767</v>
      </c>
      <c r="G64" s="95">
        <f>254</f>
        <v>254</v>
      </c>
      <c r="H64" s="63"/>
      <c r="I64" s="63"/>
      <c r="J64" s="63"/>
      <c r="K64" s="133"/>
      <c r="L64" s="63"/>
      <c r="M64" s="63"/>
      <c r="N64" s="63"/>
      <c r="O64" s="63"/>
      <c r="P64" s="63"/>
      <c r="Q64" s="63">
        <f t="shared" si="3"/>
        <v>254</v>
      </c>
      <c r="R64" s="63">
        <f t="shared" si="4"/>
        <v>0</v>
      </c>
      <c r="S64" s="63">
        <f t="shared" si="5"/>
        <v>254</v>
      </c>
    </row>
    <row r="65" spans="1:19" s="77" customFormat="1" ht="12" x14ac:dyDescent="0.2">
      <c r="A65" s="68">
        <v>147272</v>
      </c>
      <c r="B65" s="68" t="s">
        <v>7152</v>
      </c>
      <c r="C65" s="88">
        <v>38</v>
      </c>
      <c r="D65" s="72" t="s">
        <v>7166</v>
      </c>
      <c r="E65" s="157" t="s">
        <v>19</v>
      </c>
      <c r="F65" s="74">
        <v>42776</v>
      </c>
      <c r="G65" s="95">
        <f>111.9</f>
        <v>111.9</v>
      </c>
      <c r="H65" s="63"/>
      <c r="I65" s="63">
        <v>623.33000000000004</v>
      </c>
      <c r="J65" s="63"/>
      <c r="K65" s="133"/>
      <c r="L65" s="63"/>
      <c r="M65" s="63"/>
      <c r="N65" s="63"/>
      <c r="O65" s="63"/>
      <c r="P65" s="63"/>
      <c r="Q65" s="63">
        <f t="shared" si="3"/>
        <v>735.23</v>
      </c>
      <c r="R65" s="63">
        <f t="shared" si="4"/>
        <v>0</v>
      </c>
      <c r="S65" s="63">
        <f t="shared" si="5"/>
        <v>735.23</v>
      </c>
    </row>
    <row r="66" spans="1:19" s="77" customFormat="1" ht="12" x14ac:dyDescent="0.2">
      <c r="A66" s="68">
        <v>147272</v>
      </c>
      <c r="B66" s="68" t="s">
        <v>7152</v>
      </c>
      <c r="C66" s="88">
        <v>38</v>
      </c>
      <c r="D66" s="72" t="s">
        <v>7167</v>
      </c>
      <c r="E66" s="157" t="s">
        <v>19</v>
      </c>
      <c r="F66" s="74">
        <v>42776</v>
      </c>
      <c r="G66" s="95">
        <f>137.6</f>
        <v>137.6</v>
      </c>
      <c r="H66" s="63"/>
      <c r="I66" s="63"/>
      <c r="J66" s="63"/>
      <c r="K66" s="133"/>
      <c r="L66" s="63"/>
      <c r="M66" s="63"/>
      <c r="N66" s="63"/>
      <c r="O66" s="63"/>
      <c r="P66" s="63"/>
      <c r="Q66" s="63">
        <f t="shared" si="3"/>
        <v>137.6</v>
      </c>
      <c r="R66" s="63">
        <f t="shared" si="4"/>
        <v>0</v>
      </c>
      <c r="S66" s="63">
        <f t="shared" si="5"/>
        <v>137.6</v>
      </c>
    </row>
    <row r="67" spans="1:19" s="77" customFormat="1" ht="12" x14ac:dyDescent="0.2">
      <c r="A67" s="68">
        <v>133503</v>
      </c>
      <c r="B67" s="68" t="s">
        <v>7153</v>
      </c>
      <c r="C67" s="88">
        <v>39</v>
      </c>
      <c r="D67" s="72" t="s">
        <v>7168</v>
      </c>
      <c r="E67" s="157" t="s">
        <v>19</v>
      </c>
      <c r="F67" s="74">
        <v>42777</v>
      </c>
      <c r="G67" s="95">
        <f>48</f>
        <v>48</v>
      </c>
      <c r="H67" s="63"/>
      <c r="I67" s="63"/>
      <c r="J67" s="63"/>
      <c r="K67" s="133"/>
      <c r="L67" s="63"/>
      <c r="M67" s="63"/>
      <c r="N67" s="63"/>
      <c r="O67" s="63"/>
      <c r="P67" s="63"/>
      <c r="Q67" s="63">
        <f t="shared" si="3"/>
        <v>48</v>
      </c>
      <c r="R67" s="63">
        <f t="shared" si="4"/>
        <v>0</v>
      </c>
      <c r="S67" s="63">
        <f t="shared" si="5"/>
        <v>48</v>
      </c>
    </row>
    <row r="68" spans="1:19" s="77" customFormat="1" ht="12" x14ac:dyDescent="0.2">
      <c r="A68" s="68">
        <v>146212</v>
      </c>
      <c r="B68" s="68" t="s">
        <v>7154</v>
      </c>
      <c r="C68" s="88">
        <v>40</v>
      </c>
      <c r="D68" s="72" t="s">
        <v>7169</v>
      </c>
      <c r="E68" s="157" t="s">
        <v>19</v>
      </c>
      <c r="F68" s="74">
        <v>42777</v>
      </c>
      <c r="G68" s="95">
        <f>528.4</f>
        <v>528.4</v>
      </c>
      <c r="H68" s="63"/>
      <c r="I68" s="63"/>
      <c r="J68" s="63"/>
      <c r="K68" s="133"/>
      <c r="L68" s="63"/>
      <c r="M68" s="63"/>
      <c r="N68" s="63"/>
      <c r="O68" s="63"/>
      <c r="P68" s="63"/>
      <c r="Q68" s="63">
        <f t="shared" si="3"/>
        <v>528.4</v>
      </c>
      <c r="R68" s="63">
        <f t="shared" si="4"/>
        <v>0</v>
      </c>
      <c r="S68" s="63">
        <f t="shared" si="5"/>
        <v>528.4</v>
      </c>
    </row>
    <row r="69" spans="1:19" s="77" customFormat="1" ht="12" x14ac:dyDescent="0.2">
      <c r="A69" s="68">
        <v>142470</v>
      </c>
      <c r="B69" s="68" t="s">
        <v>7155</v>
      </c>
      <c r="C69" s="88">
        <v>41</v>
      </c>
      <c r="D69" s="72" t="s">
        <v>7170</v>
      </c>
      <c r="E69" s="157" t="s">
        <v>19</v>
      </c>
      <c r="F69" s="74">
        <v>42777</v>
      </c>
      <c r="G69" s="95">
        <f>136.27+187.03</f>
        <v>323.3</v>
      </c>
      <c r="H69" s="63"/>
      <c r="I69" s="63"/>
      <c r="J69" s="63"/>
      <c r="K69" s="133"/>
      <c r="L69" s="63"/>
      <c r="M69" s="63"/>
      <c r="N69" s="63"/>
      <c r="O69" s="63"/>
      <c r="P69" s="63"/>
      <c r="Q69" s="63">
        <f t="shared" si="3"/>
        <v>323.3</v>
      </c>
      <c r="R69" s="63">
        <f t="shared" si="4"/>
        <v>0</v>
      </c>
      <c r="S69" s="63">
        <f t="shared" si="5"/>
        <v>323.3</v>
      </c>
    </row>
    <row r="70" spans="1:19" s="77" customFormat="1" ht="12" x14ac:dyDescent="0.2">
      <c r="A70" s="68">
        <v>142470</v>
      </c>
      <c r="B70" s="68" t="s">
        <v>7155</v>
      </c>
      <c r="C70" s="88">
        <v>41</v>
      </c>
      <c r="D70" s="72" t="s">
        <v>7171</v>
      </c>
      <c r="E70" s="157" t="s">
        <v>19</v>
      </c>
      <c r="F70" s="74">
        <v>42777</v>
      </c>
      <c r="G70" s="95">
        <f>47.2</f>
        <v>47.2</v>
      </c>
      <c r="H70" s="63"/>
      <c r="I70" s="63"/>
      <c r="J70" s="63"/>
      <c r="K70" s="133"/>
      <c r="L70" s="63"/>
      <c r="M70" s="63"/>
      <c r="N70" s="63"/>
      <c r="O70" s="63"/>
      <c r="P70" s="63"/>
      <c r="Q70" s="63">
        <f t="shared" si="3"/>
        <v>47.2</v>
      </c>
      <c r="R70" s="63">
        <f t="shared" si="4"/>
        <v>0</v>
      </c>
      <c r="S70" s="63">
        <f t="shared" si="5"/>
        <v>47.2</v>
      </c>
    </row>
    <row r="71" spans="1:19" s="77" customFormat="1" ht="12" x14ac:dyDescent="0.2">
      <c r="A71" s="68">
        <v>142470</v>
      </c>
      <c r="B71" s="68" t="s">
        <v>7155</v>
      </c>
      <c r="C71" s="88">
        <v>41</v>
      </c>
      <c r="D71" s="72" t="s">
        <v>7172</v>
      </c>
      <c r="E71" s="157" t="s">
        <v>19</v>
      </c>
      <c r="F71" s="74">
        <v>42777</v>
      </c>
      <c r="G71" s="95">
        <f>47.2</f>
        <v>47.2</v>
      </c>
      <c r="H71" s="63"/>
      <c r="I71" s="63"/>
      <c r="J71" s="63"/>
      <c r="K71" s="133"/>
      <c r="L71" s="63"/>
      <c r="M71" s="63"/>
      <c r="N71" s="63"/>
      <c r="O71" s="63"/>
      <c r="P71" s="63"/>
      <c r="Q71" s="63">
        <f t="shared" si="3"/>
        <v>47.2</v>
      </c>
      <c r="R71" s="63">
        <f t="shared" si="4"/>
        <v>0</v>
      </c>
      <c r="S71" s="63">
        <f t="shared" si="5"/>
        <v>47.2</v>
      </c>
    </row>
    <row r="72" spans="1:19" s="77" customFormat="1" ht="12" x14ac:dyDescent="0.2">
      <c r="A72" s="68">
        <v>142470</v>
      </c>
      <c r="B72" s="68" t="s">
        <v>7155</v>
      </c>
      <c r="C72" s="88">
        <v>41</v>
      </c>
      <c r="D72" s="72" t="s">
        <v>7173</v>
      </c>
      <c r="E72" s="157" t="s">
        <v>19</v>
      </c>
      <c r="F72" s="74">
        <v>42777</v>
      </c>
      <c r="G72" s="95">
        <f>47.2</f>
        <v>47.2</v>
      </c>
      <c r="H72" s="63"/>
      <c r="I72" s="63"/>
      <c r="J72" s="63"/>
      <c r="K72" s="133"/>
      <c r="L72" s="63"/>
      <c r="M72" s="63"/>
      <c r="N72" s="63"/>
      <c r="O72" s="63"/>
      <c r="P72" s="63"/>
      <c r="Q72" s="63">
        <f t="shared" si="3"/>
        <v>47.2</v>
      </c>
      <c r="R72" s="63">
        <f t="shared" si="4"/>
        <v>0</v>
      </c>
      <c r="S72" s="63">
        <f t="shared" si="5"/>
        <v>47.2</v>
      </c>
    </row>
    <row r="73" spans="1:19" s="77" customFormat="1" ht="12" x14ac:dyDescent="0.2">
      <c r="A73" s="68">
        <v>145311</v>
      </c>
      <c r="B73" s="68" t="s">
        <v>7156</v>
      </c>
      <c r="C73" s="88">
        <v>42</v>
      </c>
      <c r="D73" s="72" t="s">
        <v>7174</v>
      </c>
      <c r="E73" s="157" t="s">
        <v>19</v>
      </c>
      <c r="F73" s="74">
        <v>42779</v>
      </c>
      <c r="G73" s="95">
        <f>4002.78+230.38+362.65+232.93+100.84+71.65+131.19+353.75+353.75+71.65</f>
        <v>5911.5699999999988</v>
      </c>
      <c r="H73" s="63"/>
      <c r="I73" s="63">
        <f>3400</f>
        <v>3400</v>
      </c>
      <c r="J73" s="63"/>
      <c r="K73" s="133"/>
      <c r="L73" s="63"/>
      <c r="M73" s="63"/>
      <c r="N73" s="63"/>
      <c r="O73" s="63"/>
      <c r="P73" s="63"/>
      <c r="Q73" s="63">
        <f t="shared" si="3"/>
        <v>9311.57</v>
      </c>
      <c r="R73" s="63">
        <f t="shared" si="4"/>
        <v>0</v>
      </c>
      <c r="S73" s="63">
        <f t="shared" si="5"/>
        <v>9311.57</v>
      </c>
    </row>
    <row r="74" spans="1:19" s="77" customFormat="1" ht="12" x14ac:dyDescent="0.2">
      <c r="A74" s="68" t="s">
        <v>7149</v>
      </c>
      <c r="B74" s="68" t="s">
        <v>7157</v>
      </c>
      <c r="C74" s="88">
        <v>43</v>
      </c>
      <c r="D74" s="72" t="s">
        <v>7175</v>
      </c>
      <c r="E74" s="157" t="s">
        <v>19</v>
      </c>
      <c r="F74" s="74">
        <v>42779</v>
      </c>
      <c r="G74" s="95">
        <f>352.29</f>
        <v>352.29</v>
      </c>
      <c r="H74" s="63"/>
      <c r="I74" s="63"/>
      <c r="J74" s="63"/>
      <c r="K74" s="133"/>
      <c r="L74" s="63"/>
      <c r="M74" s="63"/>
      <c r="N74" s="63"/>
      <c r="O74" s="63"/>
      <c r="P74" s="63"/>
      <c r="Q74" s="63">
        <f t="shared" si="3"/>
        <v>352.29</v>
      </c>
      <c r="R74" s="63">
        <f t="shared" si="4"/>
        <v>0</v>
      </c>
      <c r="S74" s="63">
        <f t="shared" si="5"/>
        <v>352.29</v>
      </c>
    </row>
    <row r="75" spans="1:19" s="77" customFormat="1" ht="12" x14ac:dyDescent="0.2">
      <c r="A75" s="68">
        <v>141125</v>
      </c>
      <c r="B75" s="68" t="s">
        <v>7158</v>
      </c>
      <c r="C75" s="88">
        <v>44</v>
      </c>
      <c r="D75" s="72" t="s">
        <v>7176</v>
      </c>
      <c r="E75" s="157" t="s">
        <v>19</v>
      </c>
      <c r="F75" s="74">
        <v>42781</v>
      </c>
      <c r="G75" s="95">
        <f>216</f>
        <v>216</v>
      </c>
      <c r="H75" s="63"/>
      <c r="I75" s="63"/>
      <c r="J75" s="63"/>
      <c r="K75" s="133"/>
      <c r="L75" s="63"/>
      <c r="M75" s="63"/>
      <c r="N75" s="63"/>
      <c r="O75" s="63"/>
      <c r="P75" s="63"/>
      <c r="Q75" s="63">
        <f t="shared" si="3"/>
        <v>216</v>
      </c>
      <c r="R75" s="63">
        <f t="shared" si="4"/>
        <v>0</v>
      </c>
      <c r="S75" s="63">
        <f t="shared" si="5"/>
        <v>216</v>
      </c>
    </row>
    <row r="76" spans="1:19" s="77" customFormat="1" ht="12" x14ac:dyDescent="0.2">
      <c r="A76" s="68">
        <v>147065</v>
      </c>
      <c r="B76" s="68" t="s">
        <v>7159</v>
      </c>
      <c r="C76" s="88">
        <v>45</v>
      </c>
      <c r="D76" s="72" t="s">
        <v>7177</v>
      </c>
      <c r="E76" s="157" t="s">
        <v>19</v>
      </c>
      <c r="F76" s="74">
        <v>42781</v>
      </c>
      <c r="G76" s="95">
        <f>270.81</f>
        <v>270.81</v>
      </c>
      <c r="H76" s="63"/>
      <c r="I76" s="63"/>
      <c r="J76" s="63"/>
      <c r="K76" s="133"/>
      <c r="L76" s="63"/>
      <c r="M76" s="63"/>
      <c r="N76" s="63"/>
      <c r="O76" s="63"/>
      <c r="P76" s="63"/>
      <c r="Q76" s="63">
        <f t="shared" si="3"/>
        <v>270.81</v>
      </c>
      <c r="R76" s="63">
        <f t="shared" si="4"/>
        <v>0</v>
      </c>
      <c r="S76" s="63">
        <f t="shared" si="5"/>
        <v>270.81</v>
      </c>
    </row>
    <row r="77" spans="1:19" s="77" customFormat="1" ht="12" x14ac:dyDescent="0.2">
      <c r="A77" s="68">
        <v>134244</v>
      </c>
      <c r="B77" s="68" t="s">
        <v>7160</v>
      </c>
      <c r="C77" s="88">
        <v>46</v>
      </c>
      <c r="D77" s="72" t="s">
        <v>7178</v>
      </c>
      <c r="E77" s="157" t="s">
        <v>19</v>
      </c>
      <c r="F77" s="74">
        <v>42782</v>
      </c>
      <c r="G77" s="95">
        <f>1338.08+41.3+240</f>
        <v>1619.3799999999999</v>
      </c>
      <c r="H77" s="63"/>
      <c r="I77" s="63"/>
      <c r="J77" s="63"/>
      <c r="K77" s="133"/>
      <c r="L77" s="63"/>
      <c r="M77" s="63"/>
      <c r="N77" s="63"/>
      <c r="O77" s="63"/>
      <c r="P77" s="63"/>
      <c r="Q77" s="63">
        <f t="shared" si="3"/>
        <v>1619.3799999999999</v>
      </c>
      <c r="R77" s="63">
        <f t="shared" si="4"/>
        <v>0</v>
      </c>
      <c r="S77" s="63">
        <f t="shared" si="5"/>
        <v>1619.3799999999999</v>
      </c>
    </row>
    <row r="78" spans="1:19" s="77" customFormat="1" ht="12" x14ac:dyDescent="0.2">
      <c r="A78" s="68">
        <v>142756</v>
      </c>
      <c r="B78" s="68" t="s">
        <v>7161</v>
      </c>
      <c r="C78" s="88">
        <v>47</v>
      </c>
      <c r="D78" s="72" t="s">
        <v>7179</v>
      </c>
      <c r="E78" s="157" t="s">
        <v>19</v>
      </c>
      <c r="F78" s="74">
        <v>42782</v>
      </c>
      <c r="G78" s="95">
        <f>3570.16+582+165.5+295+109.17+143.09+59</f>
        <v>4923.92</v>
      </c>
      <c r="H78" s="63"/>
      <c r="I78" s="63">
        <f>2550+850</f>
        <v>3400</v>
      </c>
      <c r="J78" s="63"/>
      <c r="K78" s="133"/>
      <c r="L78" s="63"/>
      <c r="M78" s="63"/>
      <c r="N78" s="63"/>
      <c r="O78" s="63"/>
      <c r="P78" s="63"/>
      <c r="Q78" s="63">
        <f t="shared" si="3"/>
        <v>8323.92</v>
      </c>
      <c r="R78" s="63">
        <f t="shared" si="4"/>
        <v>0</v>
      </c>
      <c r="S78" s="63">
        <f t="shared" si="5"/>
        <v>8323.92</v>
      </c>
    </row>
    <row r="79" spans="1:19" s="77" customFormat="1" ht="12" x14ac:dyDescent="0.2">
      <c r="A79" s="68">
        <v>141268</v>
      </c>
      <c r="B79" s="68" t="s">
        <v>7162</v>
      </c>
      <c r="C79" s="88">
        <v>48</v>
      </c>
      <c r="D79" s="72" t="s">
        <v>7180</v>
      </c>
      <c r="E79" s="157" t="s">
        <v>19</v>
      </c>
      <c r="F79" s="74">
        <v>42783</v>
      </c>
      <c r="G79" s="95">
        <f>41.3+41.3+83.5+41.3</f>
        <v>207.39999999999998</v>
      </c>
      <c r="H79" s="63"/>
      <c r="I79" s="63"/>
      <c r="J79" s="63"/>
      <c r="K79" s="133"/>
      <c r="L79" s="63"/>
      <c r="M79" s="63"/>
      <c r="N79" s="63"/>
      <c r="O79" s="63"/>
      <c r="P79" s="63"/>
      <c r="Q79" s="63">
        <f t="shared" ref="Q79:Q142" si="6">+G79+I79+K79+M79+O79</f>
        <v>207.39999999999998</v>
      </c>
      <c r="R79" s="63">
        <f t="shared" ref="R79:R142" si="7">+H79+J79+L79+N79+P79</f>
        <v>0</v>
      </c>
      <c r="S79" s="63">
        <f t="shared" ref="S79:S142" si="8">+Q79+R79</f>
        <v>207.39999999999998</v>
      </c>
    </row>
    <row r="80" spans="1:19" s="77" customFormat="1" ht="12" x14ac:dyDescent="0.2">
      <c r="A80" s="68">
        <v>135102</v>
      </c>
      <c r="B80" s="68" t="s">
        <v>7163</v>
      </c>
      <c r="C80" s="88">
        <v>49</v>
      </c>
      <c r="D80" s="72" t="s">
        <v>7181</v>
      </c>
      <c r="E80" s="157" t="s">
        <v>19</v>
      </c>
      <c r="F80" s="74">
        <v>42784</v>
      </c>
      <c r="G80" s="95">
        <f>122.19</f>
        <v>122.19</v>
      </c>
      <c r="H80" s="63"/>
      <c r="I80" s="63"/>
      <c r="J80" s="63"/>
      <c r="K80" s="133"/>
      <c r="L80" s="63"/>
      <c r="M80" s="63"/>
      <c r="N80" s="63"/>
      <c r="O80" s="63"/>
      <c r="P80" s="63"/>
      <c r="Q80" s="63">
        <f t="shared" si="6"/>
        <v>122.19</v>
      </c>
      <c r="R80" s="63">
        <f t="shared" si="7"/>
        <v>0</v>
      </c>
      <c r="S80" s="63">
        <f t="shared" si="8"/>
        <v>122.19</v>
      </c>
    </row>
    <row r="81" spans="1:19" s="77" customFormat="1" ht="12" x14ac:dyDescent="0.2">
      <c r="A81" s="68">
        <v>144976</v>
      </c>
      <c r="B81" s="68" t="s">
        <v>7164</v>
      </c>
      <c r="C81" s="88">
        <v>50</v>
      </c>
      <c r="D81" s="72" t="s">
        <v>7182</v>
      </c>
      <c r="E81" s="157" t="s">
        <v>19</v>
      </c>
      <c r="F81" s="74">
        <v>42789</v>
      </c>
      <c r="G81" s="95">
        <f>147.5+1147.86+72.12+144.85+169.16+209.4+101.96+99.4+295+47.2+47.2+47.2+45.8+92.1+60.5+185</f>
        <v>2912.2499999999995</v>
      </c>
      <c r="H81" s="63"/>
      <c r="I81" s="63">
        <f>4050</f>
        <v>4050</v>
      </c>
      <c r="J81" s="63"/>
      <c r="K81" s="133"/>
      <c r="L81" s="63"/>
      <c r="M81" s="63"/>
      <c r="N81" s="63"/>
      <c r="O81" s="63"/>
      <c r="P81" s="63"/>
      <c r="Q81" s="63">
        <f t="shared" si="6"/>
        <v>6962.25</v>
      </c>
      <c r="R81" s="63">
        <f t="shared" si="7"/>
        <v>0</v>
      </c>
      <c r="S81" s="63">
        <f t="shared" si="8"/>
        <v>6962.25</v>
      </c>
    </row>
    <row r="82" spans="1:19" s="77" customFormat="1" ht="12" x14ac:dyDescent="0.2">
      <c r="A82" s="68">
        <v>133742</v>
      </c>
      <c r="B82" s="68" t="s">
        <v>7183</v>
      </c>
      <c r="C82" s="88">
        <v>51</v>
      </c>
      <c r="D82" s="72" t="s">
        <v>7185</v>
      </c>
      <c r="E82" s="157" t="s">
        <v>19</v>
      </c>
      <c r="F82" s="74">
        <v>42789</v>
      </c>
      <c r="G82" s="95">
        <f>232.2+220</f>
        <v>452.2</v>
      </c>
      <c r="H82" s="63"/>
      <c r="I82" s="63">
        <f>850</f>
        <v>850</v>
      </c>
      <c r="J82" s="63"/>
      <c r="K82" s="133"/>
      <c r="L82" s="63"/>
      <c r="M82" s="63"/>
      <c r="N82" s="63"/>
      <c r="O82" s="63"/>
      <c r="P82" s="63"/>
      <c r="Q82" s="63">
        <f t="shared" si="6"/>
        <v>1302.2</v>
      </c>
      <c r="R82" s="63">
        <f t="shared" si="7"/>
        <v>0</v>
      </c>
      <c r="S82" s="63">
        <f t="shared" si="8"/>
        <v>1302.2</v>
      </c>
    </row>
    <row r="83" spans="1:19" s="77" customFormat="1" ht="12" x14ac:dyDescent="0.2">
      <c r="A83" s="68">
        <v>144928</v>
      </c>
      <c r="B83" s="68" t="s">
        <v>7184</v>
      </c>
      <c r="C83" s="88">
        <v>52</v>
      </c>
      <c r="D83" s="72" t="s">
        <v>7186</v>
      </c>
      <c r="E83" s="157" t="s">
        <v>19</v>
      </c>
      <c r="F83" s="74">
        <v>42792</v>
      </c>
      <c r="G83" s="95">
        <f>675.83+1957.57+142.12+103.28+87.16+249.6+135.81</f>
        <v>3351.37</v>
      </c>
      <c r="H83" s="63"/>
      <c r="I83" s="63">
        <f>283.33</f>
        <v>283.33</v>
      </c>
      <c r="J83" s="63"/>
      <c r="K83" s="133"/>
      <c r="L83" s="63"/>
      <c r="M83" s="63"/>
      <c r="N83" s="63"/>
      <c r="O83" s="63"/>
      <c r="P83" s="63"/>
      <c r="Q83" s="63">
        <f t="shared" si="6"/>
        <v>3634.7</v>
      </c>
      <c r="R83" s="63">
        <f t="shared" si="7"/>
        <v>0</v>
      </c>
      <c r="S83" s="63">
        <f t="shared" si="8"/>
        <v>3634.7</v>
      </c>
    </row>
    <row r="84" spans="1:19" s="77" customFormat="1" ht="12" x14ac:dyDescent="0.2">
      <c r="A84" s="68">
        <v>144928</v>
      </c>
      <c r="B84" s="68" t="s">
        <v>7184</v>
      </c>
      <c r="C84" s="88">
        <v>52</v>
      </c>
      <c r="D84" s="72" t="s">
        <v>7187</v>
      </c>
      <c r="E84" s="157" t="s">
        <v>19</v>
      </c>
      <c r="F84" s="74">
        <v>42792</v>
      </c>
      <c r="G84" s="95">
        <f>142.98</f>
        <v>142.97999999999999</v>
      </c>
      <c r="H84" s="63"/>
      <c r="I84" s="63"/>
      <c r="J84" s="63"/>
      <c r="K84" s="133"/>
      <c r="L84" s="63"/>
      <c r="M84" s="63"/>
      <c r="N84" s="63"/>
      <c r="O84" s="63"/>
      <c r="P84" s="63"/>
      <c r="Q84" s="63">
        <f t="shared" si="6"/>
        <v>142.97999999999999</v>
      </c>
      <c r="R84" s="63">
        <f t="shared" si="7"/>
        <v>0</v>
      </c>
      <c r="S84" s="63">
        <f t="shared" si="8"/>
        <v>142.97999999999999</v>
      </c>
    </row>
    <row r="85" spans="1:19" s="77" customFormat="1" ht="12" x14ac:dyDescent="0.2">
      <c r="A85" s="68">
        <v>776</v>
      </c>
      <c r="B85" s="68" t="s">
        <v>7188</v>
      </c>
      <c r="C85" s="88">
        <v>53</v>
      </c>
      <c r="D85" s="72" t="s">
        <v>7207</v>
      </c>
      <c r="E85" s="157" t="s">
        <v>19</v>
      </c>
      <c r="F85" s="74">
        <v>42795</v>
      </c>
      <c r="G85" s="95">
        <f>558+7800+2725.8+2710+2966.3</f>
        <v>16760.099999999999</v>
      </c>
      <c r="H85" s="63"/>
      <c r="I85" s="63">
        <v>4050</v>
      </c>
      <c r="J85" s="63"/>
      <c r="K85" s="133">
        <v>16200</v>
      </c>
      <c r="L85" s="63"/>
      <c r="M85" s="63"/>
      <c r="N85" s="63"/>
      <c r="O85" s="63"/>
      <c r="P85" s="63"/>
      <c r="Q85" s="63">
        <f t="shared" si="6"/>
        <v>37010.1</v>
      </c>
      <c r="R85" s="63">
        <f t="shared" si="7"/>
        <v>0</v>
      </c>
      <c r="S85" s="63">
        <f t="shared" si="8"/>
        <v>37010.1</v>
      </c>
    </row>
    <row r="86" spans="1:19" s="77" customFormat="1" ht="12" x14ac:dyDescent="0.2">
      <c r="A86" s="68">
        <v>148813</v>
      </c>
      <c r="B86" s="68" t="s">
        <v>1451</v>
      </c>
      <c r="C86" s="88">
        <v>54</v>
      </c>
      <c r="D86" s="72" t="s">
        <v>7208</v>
      </c>
      <c r="E86" s="157" t="s">
        <v>19</v>
      </c>
      <c r="F86" s="74">
        <v>42795</v>
      </c>
      <c r="G86" s="95">
        <f>2400+108.54+8246.9+1413.31+2074.73+41.3+416.6+59</f>
        <v>14760.379999999997</v>
      </c>
      <c r="H86" s="63"/>
      <c r="I86" s="63">
        <v>3400</v>
      </c>
      <c r="J86" s="63"/>
      <c r="K86" s="133">
        <v>1944</v>
      </c>
      <c r="L86" s="63"/>
      <c r="M86" s="63"/>
      <c r="N86" s="63"/>
      <c r="O86" s="63"/>
      <c r="P86" s="63"/>
      <c r="Q86" s="63">
        <f t="shared" si="6"/>
        <v>20104.379999999997</v>
      </c>
      <c r="R86" s="63">
        <f t="shared" si="7"/>
        <v>0</v>
      </c>
      <c r="S86" s="63">
        <f t="shared" si="8"/>
        <v>20104.379999999997</v>
      </c>
    </row>
    <row r="87" spans="1:19" s="77" customFormat="1" ht="12" x14ac:dyDescent="0.2">
      <c r="A87" s="68">
        <v>137866</v>
      </c>
      <c r="B87" s="68" t="s">
        <v>7189</v>
      </c>
      <c r="C87" s="88">
        <v>55</v>
      </c>
      <c r="D87" s="72" t="s">
        <v>7209</v>
      </c>
      <c r="E87" s="157" t="s">
        <v>19</v>
      </c>
      <c r="F87" s="74">
        <v>42796</v>
      </c>
      <c r="G87" s="95">
        <f>132.05</f>
        <v>132.05000000000001</v>
      </c>
      <c r="H87" s="63"/>
      <c r="I87" s="63"/>
      <c r="J87" s="63"/>
      <c r="K87" s="133"/>
      <c r="L87" s="63"/>
      <c r="M87" s="63"/>
      <c r="N87" s="63"/>
      <c r="O87" s="63"/>
      <c r="P87" s="63"/>
      <c r="Q87" s="63">
        <f t="shared" si="6"/>
        <v>132.05000000000001</v>
      </c>
      <c r="R87" s="63">
        <f t="shared" si="7"/>
        <v>0</v>
      </c>
      <c r="S87" s="63">
        <f t="shared" si="8"/>
        <v>132.05000000000001</v>
      </c>
    </row>
    <row r="88" spans="1:19" s="77" customFormat="1" ht="12" x14ac:dyDescent="0.2">
      <c r="A88" s="68">
        <v>146212</v>
      </c>
      <c r="B88" s="68" t="s">
        <v>7154</v>
      </c>
      <c r="C88" s="88">
        <v>56</v>
      </c>
      <c r="D88" s="72" t="s">
        <v>7210</v>
      </c>
      <c r="E88" s="157" t="s">
        <v>19</v>
      </c>
      <c r="F88" s="74">
        <v>42796</v>
      </c>
      <c r="G88" s="95">
        <f>234.5</f>
        <v>234.5</v>
      </c>
      <c r="H88" s="63"/>
      <c r="I88" s="63"/>
      <c r="J88" s="63"/>
      <c r="K88" s="133"/>
      <c r="L88" s="63"/>
      <c r="M88" s="63"/>
      <c r="N88" s="63"/>
      <c r="O88" s="63"/>
      <c r="P88" s="63"/>
      <c r="Q88" s="63">
        <f t="shared" si="6"/>
        <v>234.5</v>
      </c>
      <c r="R88" s="63">
        <f t="shared" si="7"/>
        <v>0</v>
      </c>
      <c r="S88" s="63">
        <f t="shared" si="8"/>
        <v>234.5</v>
      </c>
    </row>
    <row r="89" spans="1:19" s="77" customFormat="1" ht="12" x14ac:dyDescent="0.2">
      <c r="A89" s="68">
        <v>145245</v>
      </c>
      <c r="B89" s="68" t="s">
        <v>7190</v>
      </c>
      <c r="C89" s="88">
        <v>57</v>
      </c>
      <c r="D89" s="72" t="s">
        <v>7211</v>
      </c>
      <c r="E89" s="155" t="s">
        <v>7413</v>
      </c>
      <c r="F89" s="74">
        <v>42798</v>
      </c>
      <c r="G89" s="95">
        <f>640.4</f>
        <v>640.4</v>
      </c>
      <c r="H89" s="63"/>
      <c r="I89" s="63"/>
      <c r="J89" s="63"/>
      <c r="K89" s="133"/>
      <c r="L89" s="63"/>
      <c r="M89" s="63"/>
      <c r="N89" s="63"/>
      <c r="O89" s="63"/>
      <c r="P89" s="63"/>
      <c r="Q89" s="63">
        <f t="shared" si="6"/>
        <v>640.4</v>
      </c>
      <c r="R89" s="63">
        <f t="shared" si="7"/>
        <v>0</v>
      </c>
      <c r="S89" s="63">
        <f t="shared" si="8"/>
        <v>640.4</v>
      </c>
    </row>
    <row r="90" spans="1:19" s="77" customFormat="1" ht="12" x14ac:dyDescent="0.2">
      <c r="A90" s="68">
        <v>145245</v>
      </c>
      <c r="B90" s="68" t="s">
        <v>7190</v>
      </c>
      <c r="C90" s="88">
        <v>57</v>
      </c>
      <c r="D90" s="72" t="s">
        <v>7212</v>
      </c>
      <c r="E90" s="155" t="s">
        <v>7413</v>
      </c>
      <c r="F90" s="74">
        <v>42798</v>
      </c>
      <c r="G90" s="95">
        <f>283.4</f>
        <v>283.39999999999998</v>
      </c>
      <c r="H90" s="63"/>
      <c r="I90" s="63"/>
      <c r="J90" s="63"/>
      <c r="K90" s="133"/>
      <c r="L90" s="63"/>
      <c r="M90" s="63"/>
      <c r="N90" s="63"/>
      <c r="O90" s="63"/>
      <c r="P90" s="63"/>
      <c r="Q90" s="63">
        <f t="shared" si="6"/>
        <v>283.39999999999998</v>
      </c>
      <c r="R90" s="63">
        <f t="shared" si="7"/>
        <v>0</v>
      </c>
      <c r="S90" s="63">
        <f t="shared" si="8"/>
        <v>283.39999999999998</v>
      </c>
    </row>
    <row r="91" spans="1:19" s="77" customFormat="1" ht="12" x14ac:dyDescent="0.2">
      <c r="A91" s="68">
        <v>133124</v>
      </c>
      <c r="B91" s="68" t="s">
        <v>7191</v>
      </c>
      <c r="C91" s="88">
        <v>58</v>
      </c>
      <c r="D91" s="72" t="s">
        <v>7213</v>
      </c>
      <c r="E91" s="157" t="s">
        <v>19</v>
      </c>
      <c r="F91" s="74">
        <v>42800</v>
      </c>
      <c r="G91" s="95">
        <f>149.82+190+405.27</f>
        <v>745.08999999999992</v>
      </c>
      <c r="H91" s="63"/>
      <c r="I91" s="63"/>
      <c r="J91" s="63"/>
      <c r="K91" s="133"/>
      <c r="L91" s="63"/>
      <c r="M91" s="63"/>
      <c r="N91" s="63"/>
      <c r="O91" s="63"/>
      <c r="P91" s="63"/>
      <c r="Q91" s="63">
        <f t="shared" si="6"/>
        <v>745.08999999999992</v>
      </c>
      <c r="R91" s="63">
        <f t="shared" si="7"/>
        <v>0</v>
      </c>
      <c r="S91" s="63">
        <f t="shared" si="8"/>
        <v>745.08999999999992</v>
      </c>
    </row>
    <row r="92" spans="1:19" s="77" customFormat="1" ht="12" x14ac:dyDescent="0.2">
      <c r="A92" s="68">
        <v>134570</v>
      </c>
      <c r="B92" s="68" t="s">
        <v>7192</v>
      </c>
      <c r="C92" s="88">
        <v>59</v>
      </c>
      <c r="D92" s="72" t="s">
        <v>7214</v>
      </c>
      <c r="E92" s="157" t="s">
        <v>19</v>
      </c>
      <c r="F92" s="74">
        <v>42800</v>
      </c>
      <c r="G92" s="95">
        <f>400+175.8</f>
        <v>575.79999999999995</v>
      </c>
      <c r="H92" s="63"/>
      <c r="I92" s="63"/>
      <c r="J92" s="63"/>
      <c r="K92" s="133"/>
      <c r="L92" s="63"/>
      <c r="M92" s="63"/>
      <c r="N92" s="63"/>
      <c r="O92" s="63"/>
      <c r="P92" s="63"/>
      <c r="Q92" s="63">
        <f t="shared" si="6"/>
        <v>575.79999999999995</v>
      </c>
      <c r="R92" s="63">
        <f t="shared" si="7"/>
        <v>0</v>
      </c>
      <c r="S92" s="63">
        <f t="shared" si="8"/>
        <v>575.79999999999995</v>
      </c>
    </row>
    <row r="93" spans="1:19" s="77" customFormat="1" ht="12" x14ac:dyDescent="0.2">
      <c r="A93" s="68">
        <v>142592</v>
      </c>
      <c r="B93" s="68" t="s">
        <v>7193</v>
      </c>
      <c r="C93" s="88">
        <v>60</v>
      </c>
      <c r="D93" s="72" t="s">
        <v>7215</v>
      </c>
      <c r="E93" s="157" t="s">
        <v>19</v>
      </c>
      <c r="F93" s="74">
        <v>42802</v>
      </c>
      <c r="G93" s="95">
        <f>40</f>
        <v>40</v>
      </c>
      <c r="H93" s="63"/>
      <c r="I93" s="63"/>
      <c r="J93" s="63"/>
      <c r="K93" s="133"/>
      <c r="L93" s="63"/>
      <c r="M93" s="63"/>
      <c r="N93" s="63"/>
      <c r="O93" s="63"/>
      <c r="P93" s="63"/>
      <c r="Q93" s="63">
        <f t="shared" si="6"/>
        <v>40</v>
      </c>
      <c r="R93" s="63">
        <f t="shared" si="7"/>
        <v>0</v>
      </c>
      <c r="S93" s="63">
        <f t="shared" si="8"/>
        <v>40</v>
      </c>
    </row>
    <row r="94" spans="1:19" s="77" customFormat="1" ht="12" x14ac:dyDescent="0.2">
      <c r="A94" s="68">
        <v>141209</v>
      </c>
      <c r="B94" s="68" t="s">
        <v>7194</v>
      </c>
      <c r="C94" s="88">
        <v>61</v>
      </c>
      <c r="D94" s="72" t="s">
        <v>7216</v>
      </c>
      <c r="E94" s="157" t="s">
        <v>19</v>
      </c>
      <c r="F94" s="74">
        <v>42802</v>
      </c>
      <c r="G94" s="95">
        <f>40</f>
        <v>40</v>
      </c>
      <c r="H94" s="63"/>
      <c r="I94" s="63"/>
      <c r="J94" s="63"/>
      <c r="K94" s="133"/>
      <c r="L94" s="63"/>
      <c r="M94" s="63"/>
      <c r="N94" s="63"/>
      <c r="O94" s="63"/>
      <c r="P94" s="63"/>
      <c r="Q94" s="63">
        <f t="shared" si="6"/>
        <v>40</v>
      </c>
      <c r="R94" s="63">
        <f t="shared" si="7"/>
        <v>0</v>
      </c>
      <c r="S94" s="63">
        <f t="shared" si="8"/>
        <v>40</v>
      </c>
    </row>
    <row r="95" spans="1:19" s="77" customFormat="1" ht="12" x14ac:dyDescent="0.2">
      <c r="A95" s="68">
        <v>141209</v>
      </c>
      <c r="B95" s="68" t="s">
        <v>7194</v>
      </c>
      <c r="C95" s="88">
        <v>61</v>
      </c>
      <c r="D95" s="72" t="s">
        <v>7217</v>
      </c>
      <c r="E95" s="157" t="s">
        <v>19</v>
      </c>
      <c r="F95" s="74">
        <v>42802</v>
      </c>
      <c r="G95" s="95">
        <f>40</f>
        <v>40</v>
      </c>
      <c r="H95" s="63"/>
      <c r="I95" s="63"/>
      <c r="J95" s="63"/>
      <c r="K95" s="133"/>
      <c r="L95" s="63"/>
      <c r="M95" s="63"/>
      <c r="N95" s="63"/>
      <c r="O95" s="63"/>
      <c r="P95" s="63"/>
      <c r="Q95" s="63">
        <f t="shared" si="6"/>
        <v>40</v>
      </c>
      <c r="R95" s="63">
        <f t="shared" si="7"/>
        <v>0</v>
      </c>
      <c r="S95" s="63">
        <f t="shared" si="8"/>
        <v>40</v>
      </c>
    </row>
    <row r="96" spans="1:19" s="77" customFormat="1" ht="12" x14ac:dyDescent="0.2">
      <c r="A96" s="68">
        <v>141209</v>
      </c>
      <c r="B96" s="68" t="s">
        <v>7194</v>
      </c>
      <c r="C96" s="88">
        <v>61</v>
      </c>
      <c r="D96" s="72" t="s">
        <v>7218</v>
      </c>
      <c r="E96" s="157" t="s">
        <v>19</v>
      </c>
      <c r="F96" s="74">
        <v>42802</v>
      </c>
      <c r="G96" s="95">
        <f>40</f>
        <v>40</v>
      </c>
      <c r="H96" s="63"/>
      <c r="I96" s="63"/>
      <c r="J96" s="63"/>
      <c r="K96" s="133"/>
      <c r="L96" s="63"/>
      <c r="M96" s="63"/>
      <c r="N96" s="63"/>
      <c r="O96" s="63"/>
      <c r="P96" s="63"/>
      <c r="Q96" s="63">
        <f t="shared" si="6"/>
        <v>40</v>
      </c>
      <c r="R96" s="63">
        <f t="shared" si="7"/>
        <v>0</v>
      </c>
      <c r="S96" s="63">
        <f t="shared" si="8"/>
        <v>40</v>
      </c>
    </row>
    <row r="97" spans="1:19" s="77" customFormat="1" ht="12" x14ac:dyDescent="0.2">
      <c r="A97" s="68">
        <v>141209</v>
      </c>
      <c r="B97" s="68" t="s">
        <v>7194</v>
      </c>
      <c r="C97" s="88">
        <v>61</v>
      </c>
      <c r="D97" s="72" t="s">
        <v>7219</v>
      </c>
      <c r="E97" s="157" t="s">
        <v>19</v>
      </c>
      <c r="F97" s="74">
        <v>42802</v>
      </c>
      <c r="G97" s="95">
        <f>40</f>
        <v>40</v>
      </c>
      <c r="H97" s="63"/>
      <c r="I97" s="63"/>
      <c r="J97" s="63"/>
      <c r="K97" s="133"/>
      <c r="L97" s="63"/>
      <c r="M97" s="63"/>
      <c r="N97" s="63"/>
      <c r="O97" s="63"/>
      <c r="P97" s="63"/>
      <c r="Q97" s="63">
        <f t="shared" si="6"/>
        <v>40</v>
      </c>
      <c r="R97" s="63">
        <f t="shared" si="7"/>
        <v>0</v>
      </c>
      <c r="S97" s="63">
        <f t="shared" si="8"/>
        <v>40</v>
      </c>
    </row>
    <row r="98" spans="1:19" s="77" customFormat="1" ht="12" x14ac:dyDescent="0.2">
      <c r="A98" s="68">
        <v>140430</v>
      </c>
      <c r="B98" s="68" t="s">
        <v>7195</v>
      </c>
      <c r="C98" s="88">
        <v>62</v>
      </c>
      <c r="D98" s="72" t="s">
        <v>7220</v>
      </c>
      <c r="E98" s="157" t="s">
        <v>19</v>
      </c>
      <c r="F98" s="74">
        <v>42803</v>
      </c>
      <c r="G98" s="95">
        <f>136.85+123.54+141.54+136.85+41.3</f>
        <v>580.07999999999993</v>
      </c>
      <c r="H98" s="63"/>
      <c r="I98" s="63">
        <f>1133.33</f>
        <v>1133.33</v>
      </c>
      <c r="J98" s="63"/>
      <c r="K98" s="133"/>
      <c r="L98" s="63"/>
      <c r="M98" s="63"/>
      <c r="N98" s="63"/>
      <c r="O98" s="63"/>
      <c r="P98" s="63"/>
      <c r="Q98" s="63">
        <f t="shared" si="6"/>
        <v>1713.4099999999999</v>
      </c>
      <c r="R98" s="63">
        <f t="shared" si="7"/>
        <v>0</v>
      </c>
      <c r="S98" s="63">
        <f t="shared" si="8"/>
        <v>1713.4099999999999</v>
      </c>
    </row>
    <row r="99" spans="1:19" s="77" customFormat="1" ht="12" x14ac:dyDescent="0.2">
      <c r="A99" s="68">
        <v>133694</v>
      </c>
      <c r="B99" s="68" t="s">
        <v>7196</v>
      </c>
      <c r="C99" s="88">
        <v>63</v>
      </c>
      <c r="D99" s="72" t="s">
        <v>7221</v>
      </c>
      <c r="E99" s="157" t="s">
        <v>19</v>
      </c>
      <c r="F99" s="74">
        <v>42804</v>
      </c>
      <c r="G99" s="95">
        <f>153.99</f>
        <v>153.99</v>
      </c>
      <c r="H99" s="63"/>
      <c r="I99" s="63"/>
      <c r="J99" s="63"/>
      <c r="K99" s="133"/>
      <c r="L99" s="63"/>
      <c r="M99" s="63"/>
      <c r="N99" s="63"/>
      <c r="O99" s="63"/>
      <c r="P99" s="63"/>
      <c r="Q99" s="63">
        <f t="shared" si="6"/>
        <v>153.99</v>
      </c>
      <c r="R99" s="63">
        <f t="shared" si="7"/>
        <v>0</v>
      </c>
      <c r="S99" s="63">
        <f t="shared" si="8"/>
        <v>153.99</v>
      </c>
    </row>
    <row r="100" spans="1:19" s="77" customFormat="1" ht="12" x14ac:dyDescent="0.2">
      <c r="A100" s="68">
        <v>137580</v>
      </c>
      <c r="B100" s="68" t="s">
        <v>4665</v>
      </c>
      <c r="C100" s="88">
        <v>64</v>
      </c>
      <c r="D100" s="72" t="s">
        <v>7222</v>
      </c>
      <c r="E100" s="157" t="s">
        <v>19</v>
      </c>
      <c r="F100" s="74">
        <v>42805</v>
      </c>
      <c r="G100" s="95">
        <f>58.3</f>
        <v>58.3</v>
      </c>
      <c r="H100" s="63"/>
      <c r="I100" s="63"/>
      <c r="J100" s="63"/>
      <c r="K100" s="133"/>
      <c r="L100" s="63"/>
      <c r="M100" s="63"/>
      <c r="N100" s="63"/>
      <c r="O100" s="63"/>
      <c r="P100" s="63"/>
      <c r="Q100" s="63">
        <f t="shared" si="6"/>
        <v>58.3</v>
      </c>
      <c r="R100" s="63">
        <f t="shared" si="7"/>
        <v>0</v>
      </c>
      <c r="S100" s="63">
        <f t="shared" si="8"/>
        <v>58.3</v>
      </c>
    </row>
    <row r="101" spans="1:19" s="77" customFormat="1" ht="12" x14ac:dyDescent="0.2">
      <c r="A101" s="68">
        <v>145067</v>
      </c>
      <c r="B101" s="68" t="s">
        <v>7197</v>
      </c>
      <c r="C101" s="88">
        <v>65</v>
      </c>
      <c r="D101" s="72" t="s">
        <v>7223</v>
      </c>
      <c r="E101" s="157" t="s">
        <v>19</v>
      </c>
      <c r="F101" s="74">
        <v>42805</v>
      </c>
      <c r="G101" s="95">
        <f>142.36</f>
        <v>142.36000000000001</v>
      </c>
      <c r="H101" s="63"/>
      <c r="I101" s="63"/>
      <c r="J101" s="63"/>
      <c r="K101" s="133"/>
      <c r="L101" s="63"/>
      <c r="M101" s="63"/>
      <c r="N101" s="63"/>
      <c r="O101" s="63"/>
      <c r="P101" s="63"/>
      <c r="Q101" s="63">
        <f t="shared" si="6"/>
        <v>142.36000000000001</v>
      </c>
      <c r="R101" s="63">
        <f t="shared" si="7"/>
        <v>0</v>
      </c>
      <c r="S101" s="63">
        <f t="shared" si="8"/>
        <v>142.36000000000001</v>
      </c>
    </row>
    <row r="102" spans="1:19" s="77" customFormat="1" ht="12" x14ac:dyDescent="0.2">
      <c r="A102" s="68">
        <v>141012</v>
      </c>
      <c r="B102" s="68" t="s">
        <v>7198</v>
      </c>
      <c r="C102" s="88">
        <v>66</v>
      </c>
      <c r="D102" s="72" t="s">
        <v>7224</v>
      </c>
      <c r="E102" s="157" t="s">
        <v>19</v>
      </c>
      <c r="F102" s="74">
        <v>42806</v>
      </c>
      <c r="G102" s="95">
        <f>76.95+23.71+202.56+76.95+295</f>
        <v>675.17000000000007</v>
      </c>
      <c r="H102" s="63"/>
      <c r="I102" s="63">
        <v>850</v>
      </c>
      <c r="J102" s="63"/>
      <c r="K102" s="133"/>
      <c r="L102" s="63"/>
      <c r="M102" s="63"/>
      <c r="N102" s="63"/>
      <c r="O102" s="63"/>
      <c r="P102" s="63"/>
      <c r="Q102" s="63">
        <f t="shared" si="6"/>
        <v>1525.17</v>
      </c>
      <c r="R102" s="63">
        <f t="shared" si="7"/>
        <v>0</v>
      </c>
      <c r="S102" s="63">
        <f t="shared" si="8"/>
        <v>1525.17</v>
      </c>
    </row>
    <row r="103" spans="1:19" s="77" customFormat="1" ht="12" x14ac:dyDescent="0.2">
      <c r="A103" s="68">
        <v>140502</v>
      </c>
      <c r="B103" s="68" t="s">
        <v>7199</v>
      </c>
      <c r="C103" s="88">
        <v>67</v>
      </c>
      <c r="D103" s="72" t="s">
        <v>7225</v>
      </c>
      <c r="E103" s="157" t="s">
        <v>19</v>
      </c>
      <c r="F103" s="74">
        <v>42810</v>
      </c>
      <c r="G103" s="95">
        <f>58.88</f>
        <v>58.88</v>
      </c>
      <c r="H103" s="63"/>
      <c r="I103" s="63"/>
      <c r="J103" s="63"/>
      <c r="K103" s="133"/>
      <c r="L103" s="63"/>
      <c r="M103" s="63"/>
      <c r="N103" s="63"/>
      <c r="O103" s="63"/>
      <c r="P103" s="63"/>
      <c r="Q103" s="63">
        <f t="shared" si="6"/>
        <v>58.88</v>
      </c>
      <c r="R103" s="63">
        <f t="shared" si="7"/>
        <v>0</v>
      </c>
      <c r="S103" s="63">
        <f t="shared" si="8"/>
        <v>58.88</v>
      </c>
    </row>
    <row r="104" spans="1:19" s="77" customFormat="1" ht="12" x14ac:dyDescent="0.2">
      <c r="A104" s="68">
        <v>1324</v>
      </c>
      <c r="B104" s="68" t="s">
        <v>7200</v>
      </c>
      <c r="C104" s="88">
        <v>68</v>
      </c>
      <c r="D104" s="72" t="s">
        <v>7226</v>
      </c>
      <c r="E104" s="157" t="s">
        <v>19</v>
      </c>
      <c r="F104" s="74">
        <v>42810</v>
      </c>
      <c r="G104" s="95">
        <v>117.9</v>
      </c>
      <c r="H104" s="63"/>
      <c r="I104" s="63"/>
      <c r="J104" s="63"/>
      <c r="K104" s="133"/>
      <c r="L104" s="63"/>
      <c r="M104" s="63"/>
      <c r="N104" s="63"/>
      <c r="O104" s="63"/>
      <c r="P104" s="63"/>
      <c r="Q104" s="63">
        <f t="shared" si="6"/>
        <v>117.9</v>
      </c>
      <c r="R104" s="63">
        <f t="shared" si="7"/>
        <v>0</v>
      </c>
      <c r="S104" s="63">
        <f t="shared" si="8"/>
        <v>117.9</v>
      </c>
    </row>
    <row r="105" spans="1:19" s="77" customFormat="1" ht="12" x14ac:dyDescent="0.2">
      <c r="A105" s="68">
        <v>143327</v>
      </c>
      <c r="B105" s="68" t="s">
        <v>7201</v>
      </c>
      <c r="C105" s="88">
        <v>69</v>
      </c>
      <c r="D105" s="72" t="s">
        <v>7227</v>
      </c>
      <c r="E105" s="157" t="s">
        <v>19</v>
      </c>
      <c r="F105" s="74">
        <v>42810</v>
      </c>
      <c r="G105" s="95">
        <f>83</f>
        <v>83</v>
      </c>
      <c r="H105" s="63"/>
      <c r="I105" s="63"/>
      <c r="J105" s="63"/>
      <c r="K105" s="133"/>
      <c r="L105" s="63"/>
      <c r="M105" s="63"/>
      <c r="N105" s="63"/>
      <c r="O105" s="63"/>
      <c r="P105" s="63"/>
      <c r="Q105" s="63">
        <f t="shared" si="6"/>
        <v>83</v>
      </c>
      <c r="R105" s="63">
        <f t="shared" si="7"/>
        <v>0</v>
      </c>
      <c r="S105" s="63">
        <f t="shared" si="8"/>
        <v>83</v>
      </c>
    </row>
    <row r="106" spans="1:19" s="77" customFormat="1" ht="12" x14ac:dyDescent="0.2">
      <c r="A106" s="68">
        <v>141283</v>
      </c>
      <c r="B106" s="68" t="s">
        <v>7202</v>
      </c>
      <c r="C106" s="88">
        <v>70</v>
      </c>
      <c r="D106" s="72" t="s">
        <v>7228</v>
      </c>
      <c r="E106" s="157" t="s">
        <v>19</v>
      </c>
      <c r="F106" s="74">
        <v>42810</v>
      </c>
      <c r="G106" s="95">
        <f>123.5</f>
        <v>123.5</v>
      </c>
      <c r="H106" s="63"/>
      <c r="I106" s="63"/>
      <c r="J106" s="63"/>
      <c r="K106" s="133"/>
      <c r="L106" s="63"/>
      <c r="M106" s="63"/>
      <c r="N106" s="63"/>
      <c r="O106" s="63"/>
      <c r="P106" s="63"/>
      <c r="Q106" s="63">
        <f t="shared" si="6"/>
        <v>123.5</v>
      </c>
      <c r="R106" s="63">
        <f t="shared" si="7"/>
        <v>0</v>
      </c>
      <c r="S106" s="63">
        <f t="shared" si="8"/>
        <v>123.5</v>
      </c>
    </row>
    <row r="107" spans="1:19" s="77" customFormat="1" ht="12" x14ac:dyDescent="0.2">
      <c r="A107" s="68">
        <v>23</v>
      </c>
      <c r="B107" s="68" t="s">
        <v>7203</v>
      </c>
      <c r="C107" s="88">
        <v>71</v>
      </c>
      <c r="D107" s="72" t="s">
        <v>7229</v>
      </c>
      <c r="E107" s="157" t="s">
        <v>19</v>
      </c>
      <c r="F107" s="74">
        <v>42811</v>
      </c>
      <c r="G107" s="95">
        <f>113.4+47.2+67.85+67.85+67.85+67.85+185.97+92.81+65.32+117.57+153.9+240+3527.88+15</f>
        <v>4830.45</v>
      </c>
      <c r="H107" s="63"/>
      <c r="I107" s="63">
        <f>850+850+850+850</f>
        <v>3400</v>
      </c>
      <c r="J107" s="63"/>
      <c r="K107" s="133"/>
      <c r="L107" s="63"/>
      <c r="M107" s="63"/>
      <c r="N107" s="63"/>
      <c r="O107" s="63"/>
      <c r="P107" s="63"/>
      <c r="Q107" s="63">
        <f t="shared" si="6"/>
        <v>8230.4500000000007</v>
      </c>
      <c r="R107" s="63">
        <f t="shared" si="7"/>
        <v>0</v>
      </c>
      <c r="S107" s="63">
        <f t="shared" si="8"/>
        <v>8230.4500000000007</v>
      </c>
    </row>
    <row r="108" spans="1:19" s="77" customFormat="1" ht="12" x14ac:dyDescent="0.2">
      <c r="A108" s="68">
        <v>145379</v>
      </c>
      <c r="B108" s="68" t="s">
        <v>7204</v>
      </c>
      <c r="C108" s="88">
        <v>72</v>
      </c>
      <c r="D108" s="72" t="s">
        <v>7230</v>
      </c>
      <c r="E108" s="157" t="s">
        <v>19</v>
      </c>
      <c r="F108" s="74">
        <v>42812</v>
      </c>
      <c r="G108" s="95">
        <f>275.1</f>
        <v>275.10000000000002</v>
      </c>
      <c r="H108" s="63"/>
      <c r="I108" s="63"/>
      <c r="J108" s="63"/>
      <c r="K108" s="133"/>
      <c r="L108" s="63"/>
      <c r="M108" s="63"/>
      <c r="N108" s="63"/>
      <c r="O108" s="63"/>
      <c r="P108" s="63"/>
      <c r="Q108" s="63">
        <f t="shared" si="6"/>
        <v>275.10000000000002</v>
      </c>
      <c r="R108" s="63">
        <f t="shared" si="7"/>
        <v>0</v>
      </c>
      <c r="S108" s="63">
        <f t="shared" si="8"/>
        <v>275.10000000000002</v>
      </c>
    </row>
    <row r="109" spans="1:19" s="77" customFormat="1" ht="12" x14ac:dyDescent="0.2">
      <c r="A109" s="68">
        <v>146292</v>
      </c>
      <c r="B109" s="68" t="s">
        <v>7205</v>
      </c>
      <c r="C109" s="88">
        <v>73</v>
      </c>
      <c r="D109" s="72" t="s">
        <v>7231</v>
      </c>
      <c r="E109" s="157" t="s">
        <v>19</v>
      </c>
      <c r="F109" s="74">
        <v>42813</v>
      </c>
      <c r="G109" s="95">
        <f>72.5</f>
        <v>72.5</v>
      </c>
      <c r="H109" s="63"/>
      <c r="I109" s="63"/>
      <c r="J109" s="63"/>
      <c r="K109" s="133"/>
      <c r="L109" s="63"/>
      <c r="M109" s="63"/>
      <c r="N109" s="63"/>
      <c r="O109" s="63"/>
      <c r="P109" s="63"/>
      <c r="Q109" s="63">
        <f t="shared" si="6"/>
        <v>72.5</v>
      </c>
      <c r="R109" s="63">
        <f t="shared" si="7"/>
        <v>0</v>
      </c>
      <c r="S109" s="63">
        <f t="shared" si="8"/>
        <v>72.5</v>
      </c>
    </row>
    <row r="110" spans="1:19" s="77" customFormat="1" ht="12" x14ac:dyDescent="0.2">
      <c r="A110" s="68">
        <v>2042</v>
      </c>
      <c r="B110" s="68" t="s">
        <v>7206</v>
      </c>
      <c r="C110" s="88">
        <v>74</v>
      </c>
      <c r="D110" s="72" t="s">
        <v>7232</v>
      </c>
      <c r="E110" s="157" t="s">
        <v>19</v>
      </c>
      <c r="F110" s="74">
        <v>42813</v>
      </c>
      <c r="G110" s="95">
        <v>120.88</v>
      </c>
      <c r="H110" s="63"/>
      <c r="I110" s="63"/>
      <c r="J110" s="63"/>
      <c r="K110" s="133"/>
      <c r="L110" s="63"/>
      <c r="M110" s="63"/>
      <c r="N110" s="63"/>
      <c r="O110" s="63"/>
      <c r="P110" s="63"/>
      <c r="Q110" s="63">
        <f t="shared" si="6"/>
        <v>120.88</v>
      </c>
      <c r="R110" s="63">
        <f t="shared" si="7"/>
        <v>0</v>
      </c>
      <c r="S110" s="63">
        <f t="shared" si="8"/>
        <v>120.88</v>
      </c>
    </row>
    <row r="111" spans="1:19" s="77" customFormat="1" ht="12" x14ac:dyDescent="0.2">
      <c r="A111" s="68">
        <v>2851</v>
      </c>
      <c r="B111" s="68" t="s">
        <v>4467</v>
      </c>
      <c r="C111" s="88">
        <v>75</v>
      </c>
      <c r="D111" s="72" t="s">
        <v>7233</v>
      </c>
      <c r="E111" s="157" t="s">
        <v>19</v>
      </c>
      <c r="F111" s="74">
        <v>42814</v>
      </c>
      <c r="G111" s="95">
        <f>471.59</f>
        <v>471.59</v>
      </c>
      <c r="H111" s="63"/>
      <c r="I111" s="63"/>
      <c r="J111" s="63"/>
      <c r="K111" s="133"/>
      <c r="L111" s="63"/>
      <c r="M111" s="63"/>
      <c r="N111" s="63"/>
      <c r="O111" s="63"/>
      <c r="P111" s="63"/>
      <c r="Q111" s="63">
        <f t="shared" si="6"/>
        <v>471.59</v>
      </c>
      <c r="R111" s="63">
        <f t="shared" si="7"/>
        <v>0</v>
      </c>
      <c r="S111" s="63">
        <f t="shared" si="8"/>
        <v>471.59</v>
      </c>
    </row>
    <row r="112" spans="1:19" s="77" customFormat="1" ht="12" x14ac:dyDescent="0.2">
      <c r="A112" s="68">
        <v>2851</v>
      </c>
      <c r="B112" s="68" t="s">
        <v>4467</v>
      </c>
      <c r="C112" s="88">
        <v>75</v>
      </c>
      <c r="D112" s="72" t="s">
        <v>7234</v>
      </c>
      <c r="E112" s="157" t="s">
        <v>19</v>
      </c>
      <c r="F112" s="74">
        <v>42814</v>
      </c>
      <c r="G112" s="95">
        <f>406.03</f>
        <v>406.03</v>
      </c>
      <c r="H112" s="63"/>
      <c r="I112" s="63"/>
      <c r="J112" s="63"/>
      <c r="K112" s="133"/>
      <c r="L112" s="63"/>
      <c r="M112" s="63"/>
      <c r="N112" s="63"/>
      <c r="O112" s="63"/>
      <c r="P112" s="63"/>
      <c r="Q112" s="63">
        <f t="shared" si="6"/>
        <v>406.03</v>
      </c>
      <c r="R112" s="63">
        <f t="shared" si="7"/>
        <v>0</v>
      </c>
      <c r="S112" s="63">
        <f t="shared" si="8"/>
        <v>406.03</v>
      </c>
    </row>
    <row r="113" spans="1:19" s="77" customFormat="1" ht="12" x14ac:dyDescent="0.2">
      <c r="A113" s="68">
        <v>135869</v>
      </c>
      <c r="B113" s="68" t="s">
        <v>7062</v>
      </c>
      <c r="C113" s="88">
        <v>76</v>
      </c>
      <c r="D113" s="72" t="s">
        <v>7235</v>
      </c>
      <c r="E113" s="157" t="s">
        <v>19</v>
      </c>
      <c r="F113" s="74">
        <v>42815</v>
      </c>
      <c r="G113" s="95">
        <f>238.01+73.93</f>
        <v>311.94</v>
      </c>
      <c r="H113" s="63"/>
      <c r="I113" s="63"/>
      <c r="J113" s="63"/>
      <c r="K113" s="133"/>
      <c r="L113" s="63"/>
      <c r="M113" s="63"/>
      <c r="N113" s="63"/>
      <c r="O113" s="63"/>
      <c r="P113" s="63"/>
      <c r="Q113" s="63">
        <f t="shared" si="6"/>
        <v>311.94</v>
      </c>
      <c r="R113" s="63">
        <f t="shared" si="7"/>
        <v>0</v>
      </c>
      <c r="S113" s="63">
        <f t="shared" si="8"/>
        <v>311.94</v>
      </c>
    </row>
    <row r="114" spans="1:19" s="77" customFormat="1" ht="12" x14ac:dyDescent="0.2">
      <c r="A114" s="68">
        <v>135869</v>
      </c>
      <c r="B114" s="68" t="s">
        <v>7062</v>
      </c>
      <c r="C114" s="88">
        <v>76</v>
      </c>
      <c r="D114" s="72" t="s">
        <v>7240</v>
      </c>
      <c r="E114" s="157" t="s">
        <v>19</v>
      </c>
      <c r="F114" s="74">
        <v>42815</v>
      </c>
      <c r="G114" s="95">
        <f>233.99</f>
        <v>233.99</v>
      </c>
      <c r="H114" s="63"/>
      <c r="I114" s="63"/>
      <c r="J114" s="63"/>
      <c r="K114" s="133"/>
      <c r="L114" s="63"/>
      <c r="M114" s="63"/>
      <c r="N114" s="63"/>
      <c r="O114" s="63"/>
      <c r="P114" s="63"/>
      <c r="Q114" s="63">
        <f t="shared" si="6"/>
        <v>233.99</v>
      </c>
      <c r="R114" s="63">
        <f t="shared" si="7"/>
        <v>0</v>
      </c>
      <c r="S114" s="63">
        <f t="shared" si="8"/>
        <v>233.99</v>
      </c>
    </row>
    <row r="115" spans="1:19" s="77" customFormat="1" ht="12" x14ac:dyDescent="0.2">
      <c r="A115" s="68">
        <v>135869</v>
      </c>
      <c r="B115" s="68" t="s">
        <v>7062</v>
      </c>
      <c r="C115" s="88">
        <v>76</v>
      </c>
      <c r="D115" s="72" t="s">
        <v>7241</v>
      </c>
      <c r="E115" s="157" t="s">
        <v>19</v>
      </c>
      <c r="F115" s="74">
        <v>42815</v>
      </c>
      <c r="G115" s="95">
        <f>259.84+370</f>
        <v>629.83999999999992</v>
      </c>
      <c r="H115" s="63"/>
      <c r="I115" s="63"/>
      <c r="J115" s="63"/>
      <c r="K115" s="133"/>
      <c r="L115" s="63"/>
      <c r="M115" s="63"/>
      <c r="N115" s="63"/>
      <c r="O115" s="63"/>
      <c r="P115" s="63"/>
      <c r="Q115" s="63">
        <f t="shared" si="6"/>
        <v>629.83999999999992</v>
      </c>
      <c r="R115" s="63">
        <f t="shared" si="7"/>
        <v>0</v>
      </c>
      <c r="S115" s="63">
        <f t="shared" si="8"/>
        <v>629.83999999999992</v>
      </c>
    </row>
    <row r="116" spans="1:19" s="77" customFormat="1" ht="12" x14ac:dyDescent="0.2">
      <c r="A116" s="68">
        <v>135869</v>
      </c>
      <c r="B116" s="68" t="s">
        <v>7062</v>
      </c>
      <c r="C116" s="88">
        <v>76</v>
      </c>
      <c r="D116" s="72" t="s">
        <v>7242</v>
      </c>
      <c r="E116" s="157" t="s">
        <v>19</v>
      </c>
      <c r="F116" s="74">
        <v>42815</v>
      </c>
      <c r="G116" s="95">
        <f>188.15</f>
        <v>188.15</v>
      </c>
      <c r="H116" s="63"/>
      <c r="I116" s="63"/>
      <c r="J116" s="63"/>
      <c r="K116" s="133"/>
      <c r="L116" s="63"/>
      <c r="M116" s="63"/>
      <c r="N116" s="63"/>
      <c r="O116" s="63"/>
      <c r="P116" s="63"/>
      <c r="Q116" s="63">
        <f t="shared" si="6"/>
        <v>188.15</v>
      </c>
      <c r="R116" s="63">
        <f t="shared" si="7"/>
        <v>0</v>
      </c>
      <c r="S116" s="63">
        <f t="shared" si="8"/>
        <v>188.15</v>
      </c>
    </row>
    <row r="117" spans="1:19" s="77" customFormat="1" ht="12" x14ac:dyDescent="0.2">
      <c r="A117" s="68">
        <v>135869</v>
      </c>
      <c r="B117" s="68" t="s">
        <v>7062</v>
      </c>
      <c r="C117" s="88">
        <v>76</v>
      </c>
      <c r="D117" s="72" t="s">
        <v>7243</v>
      </c>
      <c r="E117" s="157" t="s">
        <v>19</v>
      </c>
      <c r="F117" s="74">
        <v>42815</v>
      </c>
      <c r="G117" s="95">
        <f>158.77</f>
        <v>158.77000000000001</v>
      </c>
      <c r="H117" s="63"/>
      <c r="I117" s="63"/>
      <c r="J117" s="63"/>
      <c r="K117" s="133"/>
      <c r="L117" s="63"/>
      <c r="M117" s="63"/>
      <c r="N117" s="63"/>
      <c r="O117" s="63"/>
      <c r="P117" s="63"/>
      <c r="Q117" s="63">
        <f t="shared" si="6"/>
        <v>158.77000000000001</v>
      </c>
      <c r="R117" s="63">
        <f t="shared" si="7"/>
        <v>0</v>
      </c>
      <c r="S117" s="63">
        <f t="shared" si="8"/>
        <v>158.77000000000001</v>
      </c>
    </row>
    <row r="118" spans="1:19" s="77" customFormat="1" ht="12" x14ac:dyDescent="0.2">
      <c r="A118" s="68">
        <v>135869</v>
      </c>
      <c r="B118" s="68" t="s">
        <v>7062</v>
      </c>
      <c r="C118" s="88">
        <v>76</v>
      </c>
      <c r="D118" s="72" t="s">
        <v>7244</v>
      </c>
      <c r="E118" s="157" t="s">
        <v>19</v>
      </c>
      <c r="F118" s="74">
        <v>42815</v>
      </c>
      <c r="G118" s="95">
        <f>97.23</f>
        <v>97.23</v>
      </c>
      <c r="H118" s="63"/>
      <c r="I118" s="63"/>
      <c r="J118" s="63"/>
      <c r="K118" s="133"/>
      <c r="L118" s="63"/>
      <c r="M118" s="63"/>
      <c r="N118" s="63"/>
      <c r="O118" s="63"/>
      <c r="P118" s="63"/>
      <c r="Q118" s="63">
        <f t="shared" si="6"/>
        <v>97.23</v>
      </c>
      <c r="R118" s="63">
        <f t="shared" si="7"/>
        <v>0</v>
      </c>
      <c r="S118" s="63">
        <f t="shared" si="8"/>
        <v>97.23</v>
      </c>
    </row>
    <row r="119" spans="1:19" s="77" customFormat="1" ht="12" x14ac:dyDescent="0.2">
      <c r="A119" s="68">
        <v>135869</v>
      </c>
      <c r="B119" s="68" t="s">
        <v>7062</v>
      </c>
      <c r="C119" s="88">
        <v>76</v>
      </c>
      <c r="D119" s="72" t="s">
        <v>7245</v>
      </c>
      <c r="E119" s="157" t="s">
        <v>19</v>
      </c>
      <c r="F119" s="74">
        <v>42815</v>
      </c>
      <c r="G119" s="95">
        <f>133.69</f>
        <v>133.69</v>
      </c>
      <c r="H119" s="63"/>
      <c r="I119" s="63"/>
      <c r="J119" s="63"/>
      <c r="K119" s="133"/>
      <c r="L119" s="63"/>
      <c r="M119" s="63"/>
      <c r="N119" s="63"/>
      <c r="O119" s="63"/>
      <c r="P119" s="63"/>
      <c r="Q119" s="63">
        <f t="shared" si="6"/>
        <v>133.69</v>
      </c>
      <c r="R119" s="63">
        <f t="shared" si="7"/>
        <v>0</v>
      </c>
      <c r="S119" s="63">
        <f t="shared" si="8"/>
        <v>133.69</v>
      </c>
    </row>
    <row r="120" spans="1:19" s="77" customFormat="1" ht="12" x14ac:dyDescent="0.2">
      <c r="A120" s="68">
        <v>135869</v>
      </c>
      <c r="B120" s="68" t="s">
        <v>7062</v>
      </c>
      <c r="C120" s="88">
        <v>76</v>
      </c>
      <c r="D120" s="72" t="s">
        <v>7246</v>
      </c>
      <c r="E120" s="157" t="s">
        <v>19</v>
      </c>
      <c r="F120" s="74">
        <v>42815</v>
      </c>
      <c r="G120" s="95">
        <f>184.49</f>
        <v>184.49</v>
      </c>
      <c r="H120" s="63"/>
      <c r="I120" s="63"/>
      <c r="J120" s="63"/>
      <c r="K120" s="133"/>
      <c r="L120" s="63"/>
      <c r="M120" s="63"/>
      <c r="N120" s="63"/>
      <c r="O120" s="63"/>
      <c r="P120" s="63"/>
      <c r="Q120" s="63">
        <f t="shared" si="6"/>
        <v>184.49</v>
      </c>
      <c r="R120" s="63">
        <f t="shared" si="7"/>
        <v>0</v>
      </c>
      <c r="S120" s="63">
        <f t="shared" si="8"/>
        <v>184.49</v>
      </c>
    </row>
    <row r="121" spans="1:19" s="77" customFormat="1" ht="12" x14ac:dyDescent="0.2">
      <c r="A121" s="68">
        <v>135869</v>
      </c>
      <c r="B121" s="68" t="s">
        <v>7062</v>
      </c>
      <c r="C121" s="88">
        <v>76</v>
      </c>
      <c r="D121" s="72" t="s">
        <v>7247</v>
      </c>
      <c r="E121" s="157" t="s">
        <v>19</v>
      </c>
      <c r="F121" s="74">
        <v>42815</v>
      </c>
      <c r="G121" s="95">
        <f>168.98</f>
        <v>168.98</v>
      </c>
      <c r="H121" s="63"/>
      <c r="I121" s="63"/>
      <c r="J121" s="63"/>
      <c r="K121" s="133"/>
      <c r="L121" s="63"/>
      <c r="M121" s="63"/>
      <c r="N121" s="63"/>
      <c r="O121" s="63"/>
      <c r="P121" s="63"/>
      <c r="Q121" s="63">
        <f t="shared" si="6"/>
        <v>168.98</v>
      </c>
      <c r="R121" s="63">
        <f t="shared" si="7"/>
        <v>0</v>
      </c>
      <c r="S121" s="63">
        <f t="shared" si="8"/>
        <v>168.98</v>
      </c>
    </row>
    <row r="122" spans="1:19" s="77" customFormat="1" ht="12" x14ac:dyDescent="0.2">
      <c r="A122" s="68">
        <v>135869</v>
      </c>
      <c r="B122" s="68" t="s">
        <v>7062</v>
      </c>
      <c r="C122" s="88">
        <v>76</v>
      </c>
      <c r="D122" s="72" t="s">
        <v>7248</v>
      </c>
      <c r="E122" s="157" t="s">
        <v>19</v>
      </c>
      <c r="F122" s="74">
        <v>42815</v>
      </c>
      <c r="G122" s="95">
        <f>136.47</f>
        <v>136.47</v>
      </c>
      <c r="H122" s="63"/>
      <c r="I122" s="63"/>
      <c r="J122" s="63"/>
      <c r="K122" s="133"/>
      <c r="L122" s="63"/>
      <c r="M122" s="63"/>
      <c r="N122" s="63"/>
      <c r="O122" s="63"/>
      <c r="P122" s="63"/>
      <c r="Q122" s="63">
        <f t="shared" si="6"/>
        <v>136.47</v>
      </c>
      <c r="R122" s="63">
        <f t="shared" si="7"/>
        <v>0</v>
      </c>
      <c r="S122" s="63">
        <f t="shared" si="8"/>
        <v>136.47</v>
      </c>
    </row>
    <row r="123" spans="1:19" s="77" customFormat="1" ht="12" x14ac:dyDescent="0.2">
      <c r="A123" s="68">
        <v>135869</v>
      </c>
      <c r="B123" s="68" t="s">
        <v>7062</v>
      </c>
      <c r="C123" s="88">
        <v>76</v>
      </c>
      <c r="D123" s="72" t="s">
        <v>7249</v>
      </c>
      <c r="E123" s="157" t="s">
        <v>19</v>
      </c>
      <c r="F123" s="74">
        <v>42815</v>
      </c>
      <c r="G123" s="95">
        <f>156.53</f>
        <v>156.53</v>
      </c>
      <c r="H123" s="63"/>
      <c r="I123" s="63"/>
      <c r="J123" s="63"/>
      <c r="K123" s="133"/>
      <c r="L123" s="63"/>
      <c r="M123" s="63"/>
      <c r="N123" s="63"/>
      <c r="O123" s="63"/>
      <c r="P123" s="63"/>
      <c r="Q123" s="63">
        <f t="shared" si="6"/>
        <v>156.53</v>
      </c>
      <c r="R123" s="63">
        <f t="shared" si="7"/>
        <v>0</v>
      </c>
      <c r="S123" s="63">
        <f t="shared" si="8"/>
        <v>156.53</v>
      </c>
    </row>
    <row r="124" spans="1:19" s="77" customFormat="1" ht="12" x14ac:dyDescent="0.2">
      <c r="A124" s="68">
        <v>135869</v>
      </c>
      <c r="B124" s="68" t="s">
        <v>7062</v>
      </c>
      <c r="C124" s="88">
        <v>76</v>
      </c>
      <c r="D124" s="72" t="s">
        <v>7250</v>
      </c>
      <c r="E124" s="157" t="s">
        <v>19</v>
      </c>
      <c r="F124" s="74">
        <v>42815</v>
      </c>
      <c r="G124" s="95">
        <f>47.2</f>
        <v>47.2</v>
      </c>
      <c r="H124" s="63"/>
      <c r="I124" s="63"/>
      <c r="J124" s="63"/>
      <c r="K124" s="133"/>
      <c r="L124" s="63"/>
      <c r="M124" s="63"/>
      <c r="N124" s="63"/>
      <c r="O124" s="63"/>
      <c r="P124" s="63"/>
      <c r="Q124" s="63">
        <f t="shared" si="6"/>
        <v>47.2</v>
      </c>
      <c r="R124" s="63">
        <f t="shared" si="7"/>
        <v>0</v>
      </c>
      <c r="S124" s="63">
        <f t="shared" si="8"/>
        <v>47.2</v>
      </c>
    </row>
    <row r="125" spans="1:19" s="77" customFormat="1" ht="12" x14ac:dyDescent="0.2">
      <c r="A125" s="68">
        <v>135869</v>
      </c>
      <c r="B125" s="68" t="s">
        <v>7062</v>
      </c>
      <c r="C125" s="88">
        <v>76</v>
      </c>
      <c r="D125" s="72" t="s">
        <v>7251</v>
      </c>
      <c r="E125" s="157" t="s">
        <v>19</v>
      </c>
      <c r="F125" s="74">
        <v>42815</v>
      </c>
      <c r="G125" s="95">
        <f>83.54</f>
        <v>83.54</v>
      </c>
      <c r="H125" s="63"/>
      <c r="I125" s="63"/>
      <c r="J125" s="63"/>
      <c r="K125" s="133"/>
      <c r="L125" s="63"/>
      <c r="M125" s="63"/>
      <c r="N125" s="63"/>
      <c r="O125" s="63"/>
      <c r="P125" s="63"/>
      <c r="Q125" s="63">
        <f t="shared" si="6"/>
        <v>83.54</v>
      </c>
      <c r="R125" s="63">
        <f t="shared" si="7"/>
        <v>0</v>
      </c>
      <c r="S125" s="63">
        <f t="shared" si="8"/>
        <v>83.54</v>
      </c>
    </row>
    <row r="126" spans="1:19" s="77" customFormat="1" ht="12" x14ac:dyDescent="0.2">
      <c r="A126" s="68">
        <v>140152</v>
      </c>
      <c r="B126" s="68" t="s">
        <v>7236</v>
      </c>
      <c r="C126" s="88">
        <v>77</v>
      </c>
      <c r="D126" s="72" t="s">
        <v>7252</v>
      </c>
      <c r="E126" s="155" t="s">
        <v>7256</v>
      </c>
      <c r="F126" s="74">
        <v>42815</v>
      </c>
      <c r="G126" s="95">
        <f>212+35</f>
        <v>247</v>
      </c>
      <c r="H126" s="63"/>
      <c r="I126" s="63"/>
      <c r="J126" s="63"/>
      <c r="K126" s="133"/>
      <c r="L126" s="63"/>
      <c r="M126" s="63"/>
      <c r="N126" s="63"/>
      <c r="O126" s="63"/>
      <c r="P126" s="63"/>
      <c r="Q126" s="63">
        <f t="shared" si="6"/>
        <v>247</v>
      </c>
      <c r="R126" s="63">
        <f t="shared" si="7"/>
        <v>0</v>
      </c>
      <c r="S126" s="63">
        <f t="shared" si="8"/>
        <v>247</v>
      </c>
    </row>
    <row r="127" spans="1:19" s="77" customFormat="1" ht="12" x14ac:dyDescent="0.2">
      <c r="A127" s="68">
        <v>147573</v>
      </c>
      <c r="B127" s="68" t="s">
        <v>7237</v>
      </c>
      <c r="C127" s="88">
        <v>78</v>
      </c>
      <c r="D127" s="72" t="s">
        <v>7253</v>
      </c>
      <c r="E127" s="157" t="s">
        <v>19</v>
      </c>
      <c r="F127" s="74">
        <v>42816</v>
      </c>
      <c r="G127" s="95">
        <f>81.48</f>
        <v>81.48</v>
      </c>
      <c r="H127" s="63"/>
      <c r="I127" s="63"/>
      <c r="J127" s="63"/>
      <c r="K127" s="133"/>
      <c r="L127" s="63"/>
      <c r="M127" s="63"/>
      <c r="N127" s="63"/>
      <c r="O127" s="63"/>
      <c r="P127" s="63"/>
      <c r="Q127" s="63">
        <f t="shared" si="6"/>
        <v>81.48</v>
      </c>
      <c r="R127" s="63">
        <f t="shared" si="7"/>
        <v>0</v>
      </c>
      <c r="S127" s="63">
        <f t="shared" si="8"/>
        <v>81.48</v>
      </c>
    </row>
    <row r="128" spans="1:19" s="77" customFormat="1" ht="12" x14ac:dyDescent="0.2">
      <c r="A128" s="68">
        <v>145559</v>
      </c>
      <c r="B128" s="68" t="s">
        <v>7238</v>
      </c>
      <c r="C128" s="88">
        <v>79</v>
      </c>
      <c r="D128" s="72" t="s">
        <v>7254</v>
      </c>
      <c r="E128" s="157" t="s">
        <v>19</v>
      </c>
      <c r="F128" s="74">
        <v>42816</v>
      </c>
      <c r="G128" s="95">
        <f>96.88</f>
        <v>96.88</v>
      </c>
      <c r="H128" s="63"/>
      <c r="I128" s="63"/>
      <c r="J128" s="63"/>
      <c r="K128" s="133"/>
      <c r="L128" s="63"/>
      <c r="M128" s="63"/>
      <c r="N128" s="63"/>
      <c r="O128" s="63"/>
      <c r="P128" s="63"/>
      <c r="Q128" s="63">
        <f t="shared" si="6"/>
        <v>96.88</v>
      </c>
      <c r="R128" s="63">
        <f t="shared" si="7"/>
        <v>0</v>
      </c>
      <c r="S128" s="63">
        <f t="shared" si="8"/>
        <v>96.88</v>
      </c>
    </row>
    <row r="129" spans="1:19" s="77" customFormat="1" ht="12" x14ac:dyDescent="0.2">
      <c r="A129" s="68">
        <v>618</v>
      </c>
      <c r="B129" s="68" t="s">
        <v>7239</v>
      </c>
      <c r="C129" s="88">
        <v>80</v>
      </c>
      <c r="D129" s="72" t="s">
        <v>7255</v>
      </c>
      <c r="E129" s="157" t="s">
        <v>19</v>
      </c>
      <c r="F129" s="74">
        <v>42816</v>
      </c>
      <c r="G129" s="95">
        <f>41.3+115.38+150.65+191.6</f>
        <v>498.93000000000006</v>
      </c>
      <c r="H129" s="63"/>
      <c r="I129" s="63"/>
      <c r="J129" s="63"/>
      <c r="K129" s="133"/>
      <c r="L129" s="63"/>
      <c r="M129" s="63"/>
      <c r="N129" s="63"/>
      <c r="O129" s="63"/>
      <c r="P129" s="63"/>
      <c r="Q129" s="63">
        <f t="shared" si="6"/>
        <v>498.93000000000006</v>
      </c>
      <c r="R129" s="63">
        <f t="shared" si="7"/>
        <v>0</v>
      </c>
      <c r="S129" s="63">
        <f t="shared" si="8"/>
        <v>498.93000000000006</v>
      </c>
    </row>
    <row r="130" spans="1:19" s="77" customFormat="1" ht="12" x14ac:dyDescent="0.2">
      <c r="A130" s="68">
        <v>144065</v>
      </c>
      <c r="B130" s="68" t="s">
        <v>7257</v>
      </c>
      <c r="C130" s="88">
        <v>81</v>
      </c>
      <c r="D130" s="72" t="s">
        <v>7268</v>
      </c>
      <c r="E130" s="157" t="s">
        <v>19</v>
      </c>
      <c r="F130" s="74">
        <v>42817</v>
      </c>
      <c r="G130" s="95">
        <f>199.05+223.58+132.73+240.19+106.18+558</f>
        <v>1459.73</v>
      </c>
      <c r="H130" s="63"/>
      <c r="I130" s="63">
        <f>850+1700+1500</f>
        <v>4050</v>
      </c>
      <c r="J130" s="63"/>
      <c r="K130" s="133"/>
      <c r="L130" s="63"/>
      <c r="M130" s="63"/>
      <c r="N130" s="63"/>
      <c r="O130" s="63"/>
      <c r="P130" s="63"/>
      <c r="Q130" s="63">
        <f t="shared" si="6"/>
        <v>5509.73</v>
      </c>
      <c r="R130" s="63">
        <f t="shared" si="7"/>
        <v>0</v>
      </c>
      <c r="S130" s="63">
        <f t="shared" si="8"/>
        <v>5509.73</v>
      </c>
    </row>
    <row r="131" spans="1:19" s="77" customFormat="1" ht="12" x14ac:dyDescent="0.2">
      <c r="A131" s="68">
        <v>144065</v>
      </c>
      <c r="B131" s="68" t="s">
        <v>7257</v>
      </c>
      <c r="C131" s="88">
        <v>81</v>
      </c>
      <c r="D131" s="72" t="s">
        <v>7269</v>
      </c>
      <c r="E131" s="157" t="s">
        <v>19</v>
      </c>
      <c r="F131" s="74">
        <v>42817</v>
      </c>
      <c r="G131" s="95">
        <f>47.2</f>
        <v>47.2</v>
      </c>
      <c r="H131" s="63"/>
      <c r="I131" s="63"/>
      <c r="J131" s="63"/>
      <c r="K131" s="133"/>
      <c r="L131" s="63"/>
      <c r="M131" s="63"/>
      <c r="N131" s="63"/>
      <c r="O131" s="63"/>
      <c r="P131" s="63"/>
      <c r="Q131" s="63">
        <f t="shared" si="6"/>
        <v>47.2</v>
      </c>
      <c r="R131" s="63">
        <f t="shared" si="7"/>
        <v>0</v>
      </c>
      <c r="S131" s="63">
        <f t="shared" si="8"/>
        <v>47.2</v>
      </c>
    </row>
    <row r="132" spans="1:19" s="77" customFormat="1" ht="12" x14ac:dyDescent="0.2">
      <c r="A132" s="68">
        <v>144065</v>
      </c>
      <c r="B132" s="68" t="s">
        <v>7257</v>
      </c>
      <c r="C132" s="88">
        <v>81</v>
      </c>
      <c r="D132" s="72" t="s">
        <v>7270</v>
      </c>
      <c r="E132" s="157" t="s">
        <v>19</v>
      </c>
      <c r="F132" s="74">
        <v>42817</v>
      </c>
      <c r="G132" s="95">
        <f>88.5</f>
        <v>88.5</v>
      </c>
      <c r="H132" s="63"/>
      <c r="I132" s="63"/>
      <c r="J132" s="63"/>
      <c r="K132" s="133"/>
      <c r="L132" s="63"/>
      <c r="M132" s="63"/>
      <c r="N132" s="63"/>
      <c r="O132" s="63"/>
      <c r="P132" s="63"/>
      <c r="Q132" s="63">
        <f t="shared" si="6"/>
        <v>88.5</v>
      </c>
      <c r="R132" s="63">
        <f t="shared" si="7"/>
        <v>0</v>
      </c>
      <c r="S132" s="63">
        <f t="shared" si="8"/>
        <v>88.5</v>
      </c>
    </row>
    <row r="133" spans="1:19" s="77" customFormat="1" ht="12" x14ac:dyDescent="0.2">
      <c r="A133" s="68">
        <v>2603</v>
      </c>
      <c r="B133" s="68" t="s">
        <v>7258</v>
      </c>
      <c r="C133" s="88">
        <v>82</v>
      </c>
      <c r="D133" s="72" t="s">
        <v>7271</v>
      </c>
      <c r="E133" s="157" t="s">
        <v>19</v>
      </c>
      <c r="F133" s="74">
        <v>42817</v>
      </c>
      <c r="G133" s="95">
        <f>125.6</f>
        <v>125.6</v>
      </c>
      <c r="H133" s="63"/>
      <c r="I133" s="63"/>
      <c r="J133" s="63"/>
      <c r="K133" s="133"/>
      <c r="L133" s="63"/>
      <c r="M133" s="63"/>
      <c r="N133" s="63"/>
      <c r="O133" s="63"/>
      <c r="P133" s="63"/>
      <c r="Q133" s="63">
        <f t="shared" si="6"/>
        <v>125.6</v>
      </c>
      <c r="R133" s="63">
        <f t="shared" si="7"/>
        <v>0</v>
      </c>
      <c r="S133" s="63">
        <f t="shared" si="8"/>
        <v>125.6</v>
      </c>
    </row>
    <row r="134" spans="1:19" s="77" customFormat="1" ht="12" x14ac:dyDescent="0.2">
      <c r="A134" s="68">
        <v>2603</v>
      </c>
      <c r="B134" s="68" t="s">
        <v>7258</v>
      </c>
      <c r="C134" s="88">
        <v>82</v>
      </c>
      <c r="D134" s="72" t="s">
        <v>7404</v>
      </c>
      <c r="E134" s="157" t="s">
        <v>19</v>
      </c>
      <c r="F134" s="74">
        <v>42817</v>
      </c>
      <c r="G134" s="95">
        <f>173</f>
        <v>173</v>
      </c>
      <c r="H134" s="63"/>
      <c r="I134" s="63"/>
      <c r="J134" s="63"/>
      <c r="K134" s="133"/>
      <c r="L134" s="63"/>
      <c r="M134" s="63"/>
      <c r="N134" s="63"/>
      <c r="O134" s="63"/>
      <c r="P134" s="63"/>
      <c r="Q134" s="63">
        <f t="shared" si="6"/>
        <v>173</v>
      </c>
      <c r="R134" s="63">
        <f t="shared" si="7"/>
        <v>0</v>
      </c>
      <c r="S134" s="63">
        <f t="shared" si="8"/>
        <v>173</v>
      </c>
    </row>
    <row r="135" spans="1:19" s="77" customFormat="1" ht="12" x14ac:dyDescent="0.2">
      <c r="A135" s="68">
        <v>148220</v>
      </c>
      <c r="B135" s="68" t="s">
        <v>7259</v>
      </c>
      <c r="C135" s="88">
        <v>83</v>
      </c>
      <c r="D135" s="72" t="s">
        <v>7272</v>
      </c>
      <c r="E135" s="155" t="s">
        <v>7256</v>
      </c>
      <c r="F135" s="74">
        <v>42818</v>
      </c>
      <c r="G135" s="95">
        <f>3.6+38</f>
        <v>41.6</v>
      </c>
      <c r="H135" s="63"/>
      <c r="I135" s="63"/>
      <c r="J135" s="63"/>
      <c r="K135" s="133"/>
      <c r="L135" s="63"/>
      <c r="M135" s="63"/>
      <c r="N135" s="63"/>
      <c r="O135" s="63"/>
      <c r="P135" s="63"/>
      <c r="Q135" s="63">
        <f t="shared" si="6"/>
        <v>41.6</v>
      </c>
      <c r="R135" s="63">
        <f t="shared" si="7"/>
        <v>0</v>
      </c>
      <c r="S135" s="63">
        <f t="shared" si="8"/>
        <v>41.6</v>
      </c>
    </row>
    <row r="136" spans="1:19" s="77" customFormat="1" ht="12" x14ac:dyDescent="0.2">
      <c r="A136" s="68">
        <v>148220</v>
      </c>
      <c r="B136" s="68" t="s">
        <v>7259</v>
      </c>
      <c r="C136" s="88">
        <v>83</v>
      </c>
      <c r="D136" s="72" t="s">
        <v>7273</v>
      </c>
      <c r="E136" s="155" t="s">
        <v>7256</v>
      </c>
      <c r="F136" s="74">
        <v>42818</v>
      </c>
      <c r="G136" s="95">
        <f>49.81+119+22.6</f>
        <v>191.41</v>
      </c>
      <c r="H136" s="63"/>
      <c r="I136" s="63"/>
      <c r="J136" s="63"/>
      <c r="K136" s="133"/>
      <c r="L136" s="63"/>
      <c r="M136" s="63"/>
      <c r="N136" s="63"/>
      <c r="O136" s="63"/>
      <c r="P136" s="63"/>
      <c r="Q136" s="63">
        <f t="shared" si="6"/>
        <v>191.41</v>
      </c>
      <c r="R136" s="63">
        <f t="shared" si="7"/>
        <v>0</v>
      </c>
      <c r="S136" s="63">
        <f t="shared" si="8"/>
        <v>191.41</v>
      </c>
    </row>
    <row r="137" spans="1:19" s="77" customFormat="1" ht="12" x14ac:dyDescent="0.2">
      <c r="A137" s="68">
        <v>189</v>
      </c>
      <c r="B137" s="68" t="s">
        <v>7260</v>
      </c>
      <c r="C137" s="88">
        <v>84</v>
      </c>
      <c r="D137" s="72" t="s">
        <v>7274</v>
      </c>
      <c r="E137" s="157" t="s">
        <v>19</v>
      </c>
      <c r="F137" s="74">
        <v>42759</v>
      </c>
      <c r="G137" s="95">
        <f>178.3+375.89</f>
        <v>554.19000000000005</v>
      </c>
      <c r="H137" s="63"/>
      <c r="I137" s="63"/>
      <c r="J137" s="63"/>
      <c r="K137" s="133"/>
      <c r="L137" s="63"/>
      <c r="M137" s="63"/>
      <c r="N137" s="63"/>
      <c r="O137" s="63"/>
      <c r="P137" s="63"/>
      <c r="Q137" s="63">
        <f t="shared" si="6"/>
        <v>554.19000000000005</v>
      </c>
      <c r="R137" s="63">
        <f t="shared" si="7"/>
        <v>0</v>
      </c>
      <c r="S137" s="63">
        <f t="shared" si="8"/>
        <v>554.19000000000005</v>
      </c>
    </row>
    <row r="138" spans="1:19" s="77" customFormat="1" ht="12" x14ac:dyDescent="0.2">
      <c r="A138" s="68">
        <v>145222</v>
      </c>
      <c r="B138" s="68" t="s">
        <v>7261</v>
      </c>
      <c r="C138" s="88">
        <v>85</v>
      </c>
      <c r="D138" s="72" t="s">
        <v>7275</v>
      </c>
      <c r="E138" s="157" t="s">
        <v>19</v>
      </c>
      <c r="F138" s="74">
        <v>42819</v>
      </c>
      <c r="G138" s="95">
        <f>104.99</f>
        <v>104.99</v>
      </c>
      <c r="H138" s="63"/>
      <c r="I138" s="63"/>
      <c r="J138" s="63"/>
      <c r="K138" s="133"/>
      <c r="L138" s="63"/>
      <c r="M138" s="63"/>
      <c r="N138" s="63"/>
      <c r="O138" s="63"/>
      <c r="P138" s="63"/>
      <c r="Q138" s="63">
        <f t="shared" si="6"/>
        <v>104.99</v>
      </c>
      <c r="R138" s="63">
        <f t="shared" si="7"/>
        <v>0</v>
      </c>
      <c r="S138" s="63">
        <f t="shared" si="8"/>
        <v>104.99</v>
      </c>
    </row>
    <row r="139" spans="1:19" s="77" customFormat="1" ht="12" x14ac:dyDescent="0.2">
      <c r="A139" s="68">
        <v>145222</v>
      </c>
      <c r="B139" s="68" t="s">
        <v>7261</v>
      </c>
      <c r="C139" s="88">
        <v>85</v>
      </c>
      <c r="D139" s="72" t="s">
        <v>7276</v>
      </c>
      <c r="E139" s="157" t="s">
        <v>19</v>
      </c>
      <c r="F139" s="74">
        <v>42819</v>
      </c>
      <c r="G139" s="95"/>
      <c r="H139" s="63"/>
      <c r="I139" s="63"/>
      <c r="J139" s="63"/>
      <c r="K139" s="133"/>
      <c r="L139" s="63"/>
      <c r="M139" s="63"/>
      <c r="N139" s="63"/>
      <c r="O139" s="63"/>
      <c r="P139" s="63"/>
      <c r="Q139" s="63">
        <f t="shared" si="6"/>
        <v>0</v>
      </c>
      <c r="R139" s="63">
        <f t="shared" si="7"/>
        <v>0</v>
      </c>
      <c r="S139" s="63">
        <f t="shared" si="8"/>
        <v>0</v>
      </c>
    </row>
    <row r="140" spans="1:19" s="77" customFormat="1" ht="12" x14ac:dyDescent="0.2">
      <c r="A140" s="68">
        <v>145222</v>
      </c>
      <c r="B140" s="68" t="s">
        <v>7261</v>
      </c>
      <c r="C140" s="88">
        <v>85</v>
      </c>
      <c r="D140" s="72" t="s">
        <v>7277</v>
      </c>
      <c r="E140" s="157" t="s">
        <v>19</v>
      </c>
      <c r="F140" s="74">
        <v>42819</v>
      </c>
      <c r="G140" s="95">
        <f>145.5</f>
        <v>145.5</v>
      </c>
      <c r="H140" s="63"/>
      <c r="I140" s="63"/>
      <c r="J140" s="63"/>
      <c r="K140" s="133"/>
      <c r="L140" s="63"/>
      <c r="M140" s="63"/>
      <c r="N140" s="63"/>
      <c r="O140" s="63"/>
      <c r="P140" s="63"/>
      <c r="Q140" s="63">
        <f t="shared" si="6"/>
        <v>145.5</v>
      </c>
      <c r="R140" s="63">
        <f t="shared" si="7"/>
        <v>0</v>
      </c>
      <c r="S140" s="63">
        <f t="shared" si="8"/>
        <v>145.5</v>
      </c>
    </row>
    <row r="141" spans="1:19" s="77" customFormat="1" ht="12" x14ac:dyDescent="0.2">
      <c r="A141" s="68">
        <v>140914</v>
      </c>
      <c r="B141" s="68" t="s">
        <v>6820</v>
      </c>
      <c r="C141" s="88">
        <v>86</v>
      </c>
      <c r="D141" s="72" t="s">
        <v>7278</v>
      </c>
      <c r="E141" s="157" t="s">
        <v>19</v>
      </c>
      <c r="F141" s="74">
        <v>42820</v>
      </c>
      <c r="G141" s="95">
        <f>75.83+74.38+138.26+324.97+178.21+46.31+171.5+171.5+162.34+136.85+136.85</f>
        <v>1616.9999999999998</v>
      </c>
      <c r="H141" s="63"/>
      <c r="I141" s="63">
        <v>1756.67</v>
      </c>
      <c r="J141" s="63"/>
      <c r="K141" s="133"/>
      <c r="L141" s="63"/>
      <c r="M141" s="63"/>
      <c r="N141" s="63"/>
      <c r="O141" s="63"/>
      <c r="P141" s="63"/>
      <c r="Q141" s="63">
        <f t="shared" si="6"/>
        <v>3373.67</v>
      </c>
      <c r="R141" s="63">
        <f t="shared" si="7"/>
        <v>0</v>
      </c>
      <c r="S141" s="63">
        <f t="shared" si="8"/>
        <v>3373.67</v>
      </c>
    </row>
    <row r="142" spans="1:19" s="77" customFormat="1" ht="12" x14ac:dyDescent="0.2">
      <c r="A142" s="68">
        <v>137203</v>
      </c>
      <c r="B142" s="68" t="s">
        <v>7262</v>
      </c>
      <c r="C142" s="88">
        <v>87</v>
      </c>
      <c r="D142" s="72" t="s">
        <v>7279</v>
      </c>
      <c r="E142" s="157" t="s">
        <v>19</v>
      </c>
      <c r="F142" s="74">
        <v>42822</v>
      </c>
      <c r="G142" s="95">
        <v>228.12</v>
      </c>
      <c r="H142" s="63"/>
      <c r="I142" s="63"/>
      <c r="J142" s="63"/>
      <c r="K142" s="133"/>
      <c r="L142" s="63"/>
      <c r="M142" s="63"/>
      <c r="N142" s="63"/>
      <c r="O142" s="63"/>
      <c r="P142" s="63"/>
      <c r="Q142" s="63">
        <f t="shared" si="6"/>
        <v>228.12</v>
      </c>
      <c r="R142" s="63">
        <f t="shared" si="7"/>
        <v>0</v>
      </c>
      <c r="S142" s="63">
        <f t="shared" si="8"/>
        <v>228.12</v>
      </c>
    </row>
    <row r="143" spans="1:19" s="77" customFormat="1" ht="12" x14ac:dyDescent="0.2">
      <c r="A143" s="68">
        <v>117</v>
      </c>
      <c r="B143" s="68" t="s">
        <v>7263</v>
      </c>
      <c r="C143" s="88">
        <v>88</v>
      </c>
      <c r="D143" s="72" t="s">
        <v>7280</v>
      </c>
      <c r="E143" s="155" t="s">
        <v>7285</v>
      </c>
      <c r="F143" s="74">
        <v>42822</v>
      </c>
      <c r="G143" s="95">
        <f>98.51</f>
        <v>98.51</v>
      </c>
      <c r="H143" s="63"/>
      <c r="I143" s="63"/>
      <c r="J143" s="63"/>
      <c r="K143" s="133"/>
      <c r="L143" s="63"/>
      <c r="M143" s="63"/>
      <c r="N143" s="63"/>
      <c r="O143" s="63"/>
      <c r="P143" s="63"/>
      <c r="Q143" s="63">
        <f t="shared" ref="Q143:Q206" si="9">+G143+I143+K143+M143+O143</f>
        <v>98.51</v>
      </c>
      <c r="R143" s="63">
        <f t="shared" ref="R143:R206" si="10">+H143+J143+L143+N143+P143</f>
        <v>0</v>
      </c>
      <c r="S143" s="63">
        <f t="shared" ref="S143:S206" si="11">+Q143+R143</f>
        <v>98.51</v>
      </c>
    </row>
    <row r="144" spans="1:19" s="77" customFormat="1" ht="12" x14ac:dyDescent="0.2">
      <c r="A144" s="68">
        <v>143034</v>
      </c>
      <c r="B144" s="68" t="s">
        <v>7264</v>
      </c>
      <c r="C144" s="88">
        <v>89</v>
      </c>
      <c r="D144" s="72" t="s">
        <v>7281</v>
      </c>
      <c r="E144" s="157" t="s">
        <v>19</v>
      </c>
      <c r="F144" s="74">
        <v>42824</v>
      </c>
      <c r="G144" s="95"/>
      <c r="H144" s="63"/>
      <c r="I144" s="63"/>
      <c r="J144" s="63"/>
      <c r="K144" s="133"/>
      <c r="L144" s="63"/>
      <c r="M144" s="63"/>
      <c r="N144" s="63"/>
      <c r="O144" s="63"/>
      <c r="P144" s="63"/>
      <c r="Q144" s="63">
        <f t="shared" si="9"/>
        <v>0</v>
      </c>
      <c r="R144" s="63">
        <f t="shared" si="10"/>
        <v>0</v>
      </c>
      <c r="S144" s="63">
        <f t="shared" si="11"/>
        <v>0</v>
      </c>
    </row>
    <row r="145" spans="1:19" s="77" customFormat="1" ht="12" x14ac:dyDescent="0.2">
      <c r="A145" s="68">
        <v>742</v>
      </c>
      <c r="B145" s="68" t="s">
        <v>7265</v>
      </c>
      <c r="C145" s="88">
        <v>90</v>
      </c>
      <c r="D145" s="72" t="s">
        <v>7282</v>
      </c>
      <c r="E145" s="157" t="s">
        <v>19</v>
      </c>
      <c r="F145" s="74">
        <v>42824</v>
      </c>
      <c r="G145" s="95">
        <f>35+173.3</f>
        <v>208.3</v>
      </c>
      <c r="H145" s="63"/>
      <c r="I145" s="63">
        <v>538.33000000000004</v>
      </c>
      <c r="J145" s="63"/>
      <c r="K145" s="133"/>
      <c r="L145" s="63"/>
      <c r="M145" s="63"/>
      <c r="N145" s="63"/>
      <c r="O145" s="63"/>
      <c r="P145" s="63"/>
      <c r="Q145" s="63">
        <f t="shared" si="9"/>
        <v>746.63000000000011</v>
      </c>
      <c r="R145" s="63">
        <f t="shared" si="10"/>
        <v>0</v>
      </c>
      <c r="S145" s="63">
        <f t="shared" si="11"/>
        <v>746.63000000000011</v>
      </c>
    </row>
    <row r="146" spans="1:19" s="77" customFormat="1" ht="12" x14ac:dyDescent="0.2">
      <c r="A146" s="68">
        <v>146647</v>
      </c>
      <c r="B146" s="68" t="s">
        <v>7266</v>
      </c>
      <c r="C146" s="88">
        <v>91</v>
      </c>
      <c r="D146" s="72" t="s">
        <v>7283</v>
      </c>
      <c r="E146" s="157" t="s">
        <v>19</v>
      </c>
      <c r="F146" s="74">
        <v>42824</v>
      </c>
      <c r="G146" s="95">
        <f>61.48</f>
        <v>61.48</v>
      </c>
      <c r="H146" s="63"/>
      <c r="I146" s="63"/>
      <c r="J146" s="63"/>
      <c r="K146" s="133"/>
      <c r="L146" s="63"/>
      <c r="M146" s="63"/>
      <c r="N146" s="63"/>
      <c r="O146" s="63"/>
      <c r="P146" s="63"/>
      <c r="Q146" s="63">
        <f t="shared" si="9"/>
        <v>61.48</v>
      </c>
      <c r="R146" s="63">
        <f t="shared" si="10"/>
        <v>0</v>
      </c>
      <c r="S146" s="63">
        <f t="shared" si="11"/>
        <v>61.48</v>
      </c>
    </row>
    <row r="147" spans="1:19" s="77" customFormat="1" ht="12" x14ac:dyDescent="0.2">
      <c r="A147" s="68">
        <v>134844</v>
      </c>
      <c r="B147" s="68" t="s">
        <v>7267</v>
      </c>
      <c r="C147" s="88">
        <v>92</v>
      </c>
      <c r="D147" s="72" t="s">
        <v>7284</v>
      </c>
      <c r="E147" s="157" t="s">
        <v>19</v>
      </c>
      <c r="F147" s="74">
        <v>42825</v>
      </c>
      <c r="G147" s="95"/>
      <c r="H147" s="63"/>
      <c r="I147" s="63"/>
      <c r="J147" s="63"/>
      <c r="K147" s="133"/>
      <c r="L147" s="63"/>
      <c r="M147" s="63"/>
      <c r="N147" s="63"/>
      <c r="O147" s="63"/>
      <c r="P147" s="63"/>
      <c r="Q147" s="63">
        <f t="shared" si="9"/>
        <v>0</v>
      </c>
      <c r="R147" s="63">
        <f t="shared" si="10"/>
        <v>0</v>
      </c>
      <c r="S147" s="63">
        <f t="shared" si="11"/>
        <v>0</v>
      </c>
    </row>
    <row r="148" spans="1:19" s="77" customFormat="1" ht="12" x14ac:dyDescent="0.2">
      <c r="A148" s="68">
        <v>148603</v>
      </c>
      <c r="B148" s="68" t="s">
        <v>7286</v>
      </c>
      <c r="C148" s="88">
        <v>93</v>
      </c>
      <c r="D148" s="72" t="s">
        <v>7302</v>
      </c>
      <c r="E148" s="157" t="s">
        <v>19</v>
      </c>
      <c r="F148" s="74">
        <v>42829</v>
      </c>
      <c r="G148" s="95">
        <f>65.61</f>
        <v>65.61</v>
      </c>
      <c r="H148" s="63"/>
      <c r="I148" s="63"/>
      <c r="J148" s="63"/>
      <c r="K148" s="133"/>
      <c r="L148" s="63"/>
      <c r="M148" s="63"/>
      <c r="N148" s="63"/>
      <c r="O148" s="63"/>
      <c r="P148" s="63"/>
      <c r="Q148" s="63">
        <f t="shared" si="9"/>
        <v>65.61</v>
      </c>
      <c r="R148" s="63">
        <f t="shared" si="10"/>
        <v>0</v>
      </c>
      <c r="S148" s="63">
        <f t="shared" si="11"/>
        <v>65.61</v>
      </c>
    </row>
    <row r="149" spans="1:19" s="77" customFormat="1" ht="12" x14ac:dyDescent="0.2">
      <c r="A149" s="68">
        <v>149017</v>
      </c>
      <c r="B149" s="68" t="s">
        <v>7287</v>
      </c>
      <c r="C149" s="88">
        <v>94</v>
      </c>
      <c r="D149" s="72" t="s">
        <v>7303</v>
      </c>
      <c r="E149" s="157" t="s">
        <v>19</v>
      </c>
      <c r="F149" s="74">
        <v>42829</v>
      </c>
      <c r="G149" s="95">
        <f>520.56+153.49+73.93+416.45+182.55+1674+148.76+331.3+1300+245.86+566.67</f>
        <v>5613.57</v>
      </c>
      <c r="H149" s="63"/>
      <c r="I149" s="63">
        <f>850+266.67</f>
        <v>1116.67</v>
      </c>
      <c r="J149" s="63"/>
      <c r="K149" s="133"/>
      <c r="L149" s="63"/>
      <c r="M149" s="63"/>
      <c r="N149" s="63"/>
      <c r="O149" s="63"/>
      <c r="P149" s="63"/>
      <c r="Q149" s="63">
        <f t="shared" si="9"/>
        <v>6730.24</v>
      </c>
      <c r="R149" s="63">
        <f t="shared" si="10"/>
        <v>0</v>
      </c>
      <c r="S149" s="63">
        <f t="shared" si="11"/>
        <v>6730.24</v>
      </c>
    </row>
    <row r="150" spans="1:19" s="77" customFormat="1" ht="12" x14ac:dyDescent="0.2">
      <c r="A150" s="68">
        <v>148136</v>
      </c>
      <c r="B150" s="68" t="s">
        <v>6847</v>
      </c>
      <c r="C150" s="88">
        <v>95</v>
      </c>
      <c r="D150" s="72" t="s">
        <v>7304</v>
      </c>
      <c r="E150" s="157" t="s">
        <v>19</v>
      </c>
      <c r="F150" s="74">
        <v>42829</v>
      </c>
      <c r="G150" s="95">
        <f>41.3+78.19+41.3+132.44+304.25</f>
        <v>597.48</v>
      </c>
      <c r="H150" s="63"/>
      <c r="I150" s="63">
        <v>935</v>
      </c>
      <c r="J150" s="63"/>
      <c r="K150" s="133"/>
      <c r="L150" s="63"/>
      <c r="M150" s="63"/>
      <c r="N150" s="63"/>
      <c r="O150" s="63"/>
      <c r="P150" s="63"/>
      <c r="Q150" s="63">
        <f t="shared" si="9"/>
        <v>1532.48</v>
      </c>
      <c r="R150" s="63">
        <f t="shared" si="10"/>
        <v>0</v>
      </c>
      <c r="S150" s="63">
        <f t="shared" si="11"/>
        <v>1532.48</v>
      </c>
    </row>
    <row r="151" spans="1:19" s="77" customFormat="1" ht="12" x14ac:dyDescent="0.2">
      <c r="A151" s="68">
        <v>145498</v>
      </c>
      <c r="B151" s="68" t="s">
        <v>7288</v>
      </c>
      <c r="C151" s="88">
        <v>96</v>
      </c>
      <c r="D151" s="72" t="s">
        <v>7305</v>
      </c>
      <c r="E151" s="157" t="s">
        <v>19</v>
      </c>
      <c r="F151" s="74">
        <v>42832</v>
      </c>
      <c r="G151" s="95">
        <f>420.64</f>
        <v>420.64</v>
      </c>
      <c r="H151" s="63"/>
      <c r="I151" s="63"/>
      <c r="J151" s="63"/>
      <c r="K151" s="133"/>
      <c r="L151" s="63"/>
      <c r="M151" s="63"/>
      <c r="N151" s="63"/>
      <c r="O151" s="63"/>
      <c r="P151" s="63"/>
      <c r="Q151" s="63">
        <f t="shared" si="9"/>
        <v>420.64</v>
      </c>
      <c r="R151" s="63">
        <f t="shared" si="10"/>
        <v>0</v>
      </c>
      <c r="S151" s="63">
        <f t="shared" si="11"/>
        <v>420.64</v>
      </c>
    </row>
    <row r="152" spans="1:19" s="77" customFormat="1" ht="12" x14ac:dyDescent="0.2">
      <c r="A152" s="68">
        <v>136885</v>
      </c>
      <c r="B152" s="68" t="s">
        <v>7289</v>
      </c>
      <c r="C152" s="88">
        <v>97</v>
      </c>
      <c r="D152" s="72" t="s">
        <v>7306</v>
      </c>
      <c r="E152" s="157" t="s">
        <v>19</v>
      </c>
      <c r="F152" s="74">
        <v>42835</v>
      </c>
      <c r="G152" s="95"/>
      <c r="H152" s="63"/>
      <c r="I152" s="63"/>
      <c r="J152" s="63"/>
      <c r="K152" s="133"/>
      <c r="L152" s="63"/>
      <c r="M152" s="63"/>
      <c r="N152" s="63"/>
      <c r="O152" s="63"/>
      <c r="P152" s="63"/>
      <c r="Q152" s="63">
        <f t="shared" si="9"/>
        <v>0</v>
      </c>
      <c r="R152" s="63">
        <f t="shared" si="10"/>
        <v>0</v>
      </c>
      <c r="S152" s="63">
        <f t="shared" si="11"/>
        <v>0</v>
      </c>
    </row>
    <row r="153" spans="1:19" s="77" customFormat="1" ht="12" x14ac:dyDescent="0.2">
      <c r="A153" s="68">
        <v>3821</v>
      </c>
      <c r="B153" s="152" t="s">
        <v>7290</v>
      </c>
      <c r="C153" s="88">
        <v>98</v>
      </c>
      <c r="D153" s="72" t="s">
        <v>7307</v>
      </c>
      <c r="E153" s="157" t="s">
        <v>19</v>
      </c>
      <c r="F153" s="74">
        <v>42835</v>
      </c>
      <c r="G153" s="95">
        <v>182.43</v>
      </c>
      <c r="H153" s="63"/>
      <c r="I153" s="63"/>
      <c r="J153" s="63"/>
      <c r="K153" s="133"/>
      <c r="L153" s="63"/>
      <c r="M153" s="63"/>
      <c r="N153" s="63"/>
      <c r="O153" s="63"/>
      <c r="P153" s="63"/>
      <c r="Q153" s="63">
        <f t="shared" si="9"/>
        <v>182.43</v>
      </c>
      <c r="R153" s="63">
        <f t="shared" si="10"/>
        <v>0</v>
      </c>
      <c r="S153" s="63">
        <f t="shared" si="11"/>
        <v>182.43</v>
      </c>
    </row>
    <row r="154" spans="1:19" s="77" customFormat="1" ht="12" x14ac:dyDescent="0.2">
      <c r="A154" s="68">
        <v>1035</v>
      </c>
      <c r="B154" s="68" t="s">
        <v>7291</v>
      </c>
      <c r="C154" s="88">
        <v>99</v>
      </c>
      <c r="D154" s="72" t="s">
        <v>7308</v>
      </c>
      <c r="E154" s="157" t="s">
        <v>19</v>
      </c>
      <c r="F154" s="74">
        <v>42838</v>
      </c>
      <c r="G154" s="95">
        <f>185.5</f>
        <v>185.5</v>
      </c>
      <c r="H154" s="63"/>
      <c r="I154" s="63"/>
      <c r="J154" s="63"/>
      <c r="K154" s="133"/>
      <c r="L154" s="63"/>
      <c r="M154" s="63"/>
      <c r="N154" s="63"/>
      <c r="O154" s="63"/>
      <c r="P154" s="63"/>
      <c r="Q154" s="63">
        <f t="shared" si="9"/>
        <v>185.5</v>
      </c>
      <c r="R154" s="63">
        <f t="shared" si="10"/>
        <v>0</v>
      </c>
      <c r="S154" s="63">
        <f t="shared" si="11"/>
        <v>185.5</v>
      </c>
    </row>
    <row r="155" spans="1:19" s="77" customFormat="1" ht="12" x14ac:dyDescent="0.2">
      <c r="A155" s="68">
        <v>3468</v>
      </c>
      <c r="B155" s="68" t="s">
        <v>7292</v>
      </c>
      <c r="C155" s="88">
        <v>100</v>
      </c>
      <c r="D155" s="72" t="s">
        <v>7309</v>
      </c>
      <c r="E155" s="157" t="s">
        <v>19</v>
      </c>
      <c r="F155" s="74">
        <v>42839</v>
      </c>
      <c r="G155" s="95">
        <f>109.72</f>
        <v>109.72</v>
      </c>
      <c r="H155" s="63"/>
      <c r="I155" s="63"/>
      <c r="J155" s="63"/>
      <c r="K155" s="133"/>
      <c r="L155" s="63"/>
      <c r="M155" s="63"/>
      <c r="N155" s="63"/>
      <c r="O155" s="63"/>
      <c r="P155" s="63"/>
      <c r="Q155" s="63">
        <f t="shared" si="9"/>
        <v>109.72</v>
      </c>
      <c r="R155" s="63">
        <f t="shared" si="10"/>
        <v>0</v>
      </c>
      <c r="S155" s="63">
        <f t="shared" si="11"/>
        <v>109.72</v>
      </c>
    </row>
    <row r="156" spans="1:19" s="77" customFormat="1" ht="12" x14ac:dyDescent="0.2">
      <c r="A156" s="68">
        <v>148882</v>
      </c>
      <c r="B156" s="68" t="s">
        <v>7293</v>
      </c>
      <c r="C156" s="88">
        <v>101</v>
      </c>
      <c r="D156" s="72" t="s">
        <v>7310</v>
      </c>
      <c r="E156" s="157" t="s">
        <v>19</v>
      </c>
      <c r="F156" s="74">
        <v>42840</v>
      </c>
      <c r="G156" s="95">
        <f>253.72</f>
        <v>253.72</v>
      </c>
      <c r="H156" s="63"/>
      <c r="I156" s="63"/>
      <c r="J156" s="63"/>
      <c r="K156" s="133"/>
      <c r="L156" s="63"/>
      <c r="M156" s="63"/>
      <c r="N156" s="63"/>
      <c r="O156" s="63"/>
      <c r="P156" s="63"/>
      <c r="Q156" s="63">
        <f t="shared" si="9"/>
        <v>253.72</v>
      </c>
      <c r="R156" s="63">
        <f t="shared" si="10"/>
        <v>0</v>
      </c>
      <c r="S156" s="63">
        <f t="shared" si="11"/>
        <v>253.72</v>
      </c>
    </row>
    <row r="157" spans="1:19" s="77" customFormat="1" ht="12" x14ac:dyDescent="0.2">
      <c r="A157" s="68">
        <v>2934</v>
      </c>
      <c r="B157" s="68" t="s">
        <v>7294</v>
      </c>
      <c r="C157" s="88">
        <v>102</v>
      </c>
      <c r="D157" s="72" t="s">
        <v>7311</v>
      </c>
      <c r="E157" s="155" t="s">
        <v>7256</v>
      </c>
      <c r="F157" s="74">
        <v>42843</v>
      </c>
      <c r="G157" s="95">
        <f>124.73+159.73+156.77+27.5+181+131.99+63+41.3</f>
        <v>886.02</v>
      </c>
      <c r="H157" s="63"/>
      <c r="I157" s="63">
        <f>1360+1360</f>
        <v>2720</v>
      </c>
      <c r="J157" s="63"/>
      <c r="K157" s="133"/>
      <c r="L157" s="63"/>
      <c r="M157" s="63"/>
      <c r="N157" s="63"/>
      <c r="O157" s="63"/>
      <c r="P157" s="63"/>
      <c r="Q157" s="63">
        <f t="shared" si="9"/>
        <v>3606.02</v>
      </c>
      <c r="R157" s="63">
        <f t="shared" si="10"/>
        <v>0</v>
      </c>
      <c r="S157" s="63">
        <f t="shared" si="11"/>
        <v>3606.02</v>
      </c>
    </row>
    <row r="158" spans="1:19" s="77" customFormat="1" ht="12" x14ac:dyDescent="0.2">
      <c r="A158" s="68">
        <v>2934</v>
      </c>
      <c r="B158" s="68" t="s">
        <v>7294</v>
      </c>
      <c r="C158" s="88">
        <v>102</v>
      </c>
      <c r="D158" s="72" t="s">
        <v>7312</v>
      </c>
      <c r="E158" s="155" t="s">
        <v>7256</v>
      </c>
      <c r="F158" s="74">
        <v>42843</v>
      </c>
      <c r="G158" s="95">
        <f>4.9+38</f>
        <v>42.9</v>
      </c>
      <c r="H158" s="63"/>
      <c r="I158" s="63"/>
      <c r="J158" s="63"/>
      <c r="K158" s="133"/>
      <c r="L158" s="63"/>
      <c r="M158" s="63"/>
      <c r="N158" s="63"/>
      <c r="O158" s="63"/>
      <c r="P158" s="63"/>
      <c r="Q158" s="63">
        <f t="shared" si="9"/>
        <v>42.9</v>
      </c>
      <c r="R158" s="63">
        <f t="shared" si="10"/>
        <v>0</v>
      </c>
      <c r="S158" s="63">
        <f t="shared" si="11"/>
        <v>42.9</v>
      </c>
    </row>
    <row r="159" spans="1:19" s="77" customFormat="1" ht="12" x14ac:dyDescent="0.2">
      <c r="A159" s="68">
        <v>2934</v>
      </c>
      <c r="B159" s="68" t="s">
        <v>7294</v>
      </c>
      <c r="C159" s="88">
        <v>102</v>
      </c>
      <c r="D159" s="72" t="s">
        <v>7313</v>
      </c>
      <c r="E159" s="155" t="s">
        <v>7256</v>
      </c>
      <c r="F159" s="74">
        <v>42843</v>
      </c>
      <c r="G159" s="95">
        <f>38+1.8</f>
        <v>39.799999999999997</v>
      </c>
      <c r="H159" s="63"/>
      <c r="I159" s="63"/>
      <c r="J159" s="63"/>
      <c r="K159" s="133"/>
      <c r="L159" s="63"/>
      <c r="M159" s="63"/>
      <c r="N159" s="63"/>
      <c r="O159" s="63"/>
      <c r="P159" s="63"/>
      <c r="Q159" s="63">
        <f t="shared" si="9"/>
        <v>39.799999999999997</v>
      </c>
      <c r="R159" s="63">
        <f t="shared" si="10"/>
        <v>0</v>
      </c>
      <c r="S159" s="63">
        <f t="shared" si="11"/>
        <v>39.799999999999997</v>
      </c>
    </row>
    <row r="160" spans="1:19" s="77" customFormat="1" ht="12" x14ac:dyDescent="0.2">
      <c r="A160" s="68">
        <v>2934</v>
      </c>
      <c r="B160" s="68" t="s">
        <v>7294</v>
      </c>
      <c r="C160" s="88">
        <v>102</v>
      </c>
      <c r="D160" s="72" t="s">
        <v>7314</v>
      </c>
      <c r="E160" s="155" t="s">
        <v>7256</v>
      </c>
      <c r="F160" s="74">
        <v>42843</v>
      </c>
      <c r="G160" s="95">
        <f>114.83+143+3.3</f>
        <v>261.13</v>
      </c>
      <c r="H160" s="63"/>
      <c r="I160" s="63"/>
      <c r="J160" s="63"/>
      <c r="K160" s="133"/>
      <c r="L160" s="63"/>
      <c r="M160" s="63"/>
      <c r="N160" s="63"/>
      <c r="O160" s="63"/>
      <c r="P160" s="63"/>
      <c r="Q160" s="63">
        <f t="shared" si="9"/>
        <v>261.13</v>
      </c>
      <c r="R160" s="63">
        <f t="shared" si="10"/>
        <v>0</v>
      </c>
      <c r="S160" s="63">
        <f t="shared" si="11"/>
        <v>261.13</v>
      </c>
    </row>
    <row r="161" spans="1:19" s="77" customFormat="1" ht="12" x14ac:dyDescent="0.2">
      <c r="A161" s="68">
        <v>2934</v>
      </c>
      <c r="B161" s="68" t="s">
        <v>7294</v>
      </c>
      <c r="C161" s="88">
        <v>102</v>
      </c>
      <c r="D161" s="72" t="s">
        <v>7315</v>
      </c>
      <c r="E161" s="155" t="s">
        <v>7256</v>
      </c>
      <c r="F161" s="74">
        <v>42843</v>
      </c>
      <c r="G161" s="95">
        <f>21+86</f>
        <v>107</v>
      </c>
      <c r="H161" s="63"/>
      <c r="I161" s="63"/>
      <c r="J161" s="63"/>
      <c r="K161" s="133"/>
      <c r="L161" s="63"/>
      <c r="M161" s="63"/>
      <c r="N161" s="63"/>
      <c r="O161" s="63"/>
      <c r="P161" s="63"/>
      <c r="Q161" s="63">
        <f t="shared" si="9"/>
        <v>107</v>
      </c>
      <c r="R161" s="63">
        <f t="shared" si="10"/>
        <v>0</v>
      </c>
      <c r="S161" s="63">
        <f t="shared" si="11"/>
        <v>107</v>
      </c>
    </row>
    <row r="162" spans="1:19" s="77" customFormat="1" ht="12" x14ac:dyDescent="0.2">
      <c r="A162" s="68">
        <v>147918</v>
      </c>
      <c r="B162" s="68" t="s">
        <v>7295</v>
      </c>
      <c r="C162" s="88">
        <v>103</v>
      </c>
      <c r="D162" s="72" t="s">
        <v>7316</v>
      </c>
      <c r="E162" s="157" t="s">
        <v>19</v>
      </c>
      <c r="F162" s="74">
        <v>42844</v>
      </c>
      <c r="G162" s="95">
        <f>48.9</f>
        <v>48.9</v>
      </c>
      <c r="H162" s="63"/>
      <c r="I162" s="63"/>
      <c r="J162" s="63"/>
      <c r="K162" s="133"/>
      <c r="L162" s="63"/>
      <c r="M162" s="63"/>
      <c r="N162" s="63"/>
      <c r="O162" s="63"/>
      <c r="P162" s="63"/>
      <c r="Q162" s="63">
        <f t="shared" si="9"/>
        <v>48.9</v>
      </c>
      <c r="R162" s="63">
        <f t="shared" si="10"/>
        <v>0</v>
      </c>
      <c r="S162" s="63">
        <f t="shared" si="11"/>
        <v>48.9</v>
      </c>
    </row>
    <row r="163" spans="1:19" s="77" customFormat="1" ht="12" x14ac:dyDescent="0.2">
      <c r="A163" s="68">
        <v>147918</v>
      </c>
      <c r="B163" s="68" t="s">
        <v>7295</v>
      </c>
      <c r="C163" s="88">
        <v>103</v>
      </c>
      <c r="D163" s="72" t="s">
        <v>7317</v>
      </c>
      <c r="E163" s="157" t="s">
        <v>19</v>
      </c>
      <c r="F163" s="74">
        <v>42844</v>
      </c>
      <c r="G163" s="95">
        <f>173.3</f>
        <v>173.3</v>
      </c>
      <c r="H163" s="63"/>
      <c r="I163" s="63"/>
      <c r="J163" s="63"/>
      <c r="K163" s="133"/>
      <c r="L163" s="63"/>
      <c r="M163" s="63"/>
      <c r="N163" s="63"/>
      <c r="O163" s="63"/>
      <c r="P163" s="63"/>
      <c r="Q163" s="63">
        <f t="shared" si="9"/>
        <v>173.3</v>
      </c>
      <c r="R163" s="63">
        <f t="shared" si="10"/>
        <v>0</v>
      </c>
      <c r="S163" s="63">
        <f t="shared" si="11"/>
        <v>173.3</v>
      </c>
    </row>
    <row r="164" spans="1:19" s="77" customFormat="1" ht="12" x14ac:dyDescent="0.2">
      <c r="A164" s="68">
        <v>142655</v>
      </c>
      <c r="B164" s="68" t="s">
        <v>7296</v>
      </c>
      <c r="C164" s="88">
        <v>104</v>
      </c>
      <c r="D164" s="72" t="s">
        <v>7318</v>
      </c>
      <c r="E164" s="157" t="s">
        <v>19</v>
      </c>
      <c r="F164" s="74">
        <v>42844</v>
      </c>
      <c r="G164" s="95">
        <f>177.01</f>
        <v>177.01</v>
      </c>
      <c r="H164" s="63"/>
      <c r="I164" s="63"/>
      <c r="J164" s="63"/>
      <c r="K164" s="133"/>
      <c r="L164" s="63"/>
      <c r="M164" s="63"/>
      <c r="N164" s="63"/>
      <c r="O164" s="63"/>
      <c r="P164" s="63"/>
      <c r="Q164" s="63">
        <f t="shared" si="9"/>
        <v>177.01</v>
      </c>
      <c r="R164" s="63">
        <f t="shared" si="10"/>
        <v>0</v>
      </c>
      <c r="S164" s="63">
        <f t="shared" si="11"/>
        <v>177.01</v>
      </c>
    </row>
    <row r="165" spans="1:19" s="77" customFormat="1" ht="12" x14ac:dyDescent="0.2">
      <c r="A165" s="68">
        <v>147884</v>
      </c>
      <c r="B165" s="68" t="s">
        <v>7297</v>
      </c>
      <c r="C165" s="88">
        <v>105</v>
      </c>
      <c r="D165" s="72" t="s">
        <v>7319</v>
      </c>
      <c r="E165" s="157" t="s">
        <v>19</v>
      </c>
      <c r="F165" s="74">
        <v>42847</v>
      </c>
      <c r="G165" s="95">
        <f>278.98+40+32.01</f>
        <v>350.99</v>
      </c>
      <c r="H165" s="63"/>
      <c r="I165" s="63"/>
      <c r="J165" s="63"/>
      <c r="K165" s="133"/>
      <c r="L165" s="63"/>
      <c r="M165" s="63"/>
      <c r="N165" s="63"/>
      <c r="O165" s="63"/>
      <c r="P165" s="63"/>
      <c r="Q165" s="63">
        <f t="shared" si="9"/>
        <v>350.99</v>
      </c>
      <c r="R165" s="63">
        <f t="shared" si="10"/>
        <v>0</v>
      </c>
      <c r="S165" s="63">
        <f t="shared" si="11"/>
        <v>350.99</v>
      </c>
    </row>
    <row r="166" spans="1:19" s="77" customFormat="1" ht="12" x14ac:dyDescent="0.2">
      <c r="A166" s="68">
        <v>147884</v>
      </c>
      <c r="B166" s="68" t="s">
        <v>7297</v>
      </c>
      <c r="C166" s="88">
        <v>105</v>
      </c>
      <c r="D166" s="72" t="s">
        <v>7320</v>
      </c>
      <c r="E166" s="157" t="s">
        <v>19</v>
      </c>
      <c r="F166" s="74">
        <v>42847</v>
      </c>
      <c r="G166" s="95">
        <f>95+40</f>
        <v>135</v>
      </c>
      <c r="H166" s="63"/>
      <c r="I166" s="63">
        <f>1700</f>
        <v>1700</v>
      </c>
      <c r="J166" s="63"/>
      <c r="K166" s="133"/>
      <c r="L166" s="63"/>
      <c r="M166" s="63"/>
      <c r="N166" s="63"/>
      <c r="O166" s="63"/>
      <c r="P166" s="63"/>
      <c r="Q166" s="63">
        <f t="shared" si="9"/>
        <v>1835</v>
      </c>
      <c r="R166" s="63">
        <f t="shared" si="10"/>
        <v>0</v>
      </c>
      <c r="S166" s="63">
        <f t="shared" si="11"/>
        <v>1835</v>
      </c>
    </row>
    <row r="167" spans="1:19" s="77" customFormat="1" ht="12" x14ac:dyDescent="0.2">
      <c r="A167" s="68">
        <v>147884</v>
      </c>
      <c r="B167" s="68" t="s">
        <v>7297</v>
      </c>
      <c r="C167" s="88">
        <v>105</v>
      </c>
      <c r="D167" s="72" t="s">
        <v>7321</v>
      </c>
      <c r="E167" s="157" t="s">
        <v>19</v>
      </c>
      <c r="F167" s="74">
        <v>42847</v>
      </c>
      <c r="G167" s="95">
        <f>40+230.76+370</f>
        <v>640.76</v>
      </c>
      <c r="H167" s="63"/>
      <c r="I167" s="63"/>
      <c r="J167" s="63"/>
      <c r="K167" s="133"/>
      <c r="L167" s="63"/>
      <c r="M167" s="63"/>
      <c r="N167" s="63"/>
      <c r="O167" s="63"/>
      <c r="P167" s="63"/>
      <c r="Q167" s="63">
        <f t="shared" si="9"/>
        <v>640.76</v>
      </c>
      <c r="R167" s="63">
        <f t="shared" si="10"/>
        <v>0</v>
      </c>
      <c r="S167" s="63">
        <f t="shared" si="11"/>
        <v>640.76</v>
      </c>
    </row>
    <row r="168" spans="1:19" s="77" customFormat="1" ht="12" x14ac:dyDescent="0.2">
      <c r="A168" s="68">
        <v>147884</v>
      </c>
      <c r="B168" s="68" t="s">
        <v>7297</v>
      </c>
      <c r="C168" s="88">
        <v>105</v>
      </c>
      <c r="D168" s="72" t="s">
        <v>7322</v>
      </c>
      <c r="E168" s="157" t="s">
        <v>19</v>
      </c>
      <c r="F168" s="74">
        <v>42847</v>
      </c>
      <c r="G168" s="95">
        <f>40+56.62+370</f>
        <v>466.62</v>
      </c>
      <c r="H168" s="63"/>
      <c r="I168" s="63">
        <f>1700</f>
        <v>1700</v>
      </c>
      <c r="J168" s="63"/>
      <c r="K168" s="133"/>
      <c r="L168" s="63"/>
      <c r="M168" s="63"/>
      <c r="N168" s="63"/>
      <c r="O168" s="63"/>
      <c r="P168" s="63"/>
      <c r="Q168" s="63">
        <f t="shared" si="9"/>
        <v>2166.62</v>
      </c>
      <c r="R168" s="63">
        <f t="shared" si="10"/>
        <v>0</v>
      </c>
      <c r="S168" s="63">
        <f t="shared" si="11"/>
        <v>2166.62</v>
      </c>
    </row>
    <row r="169" spans="1:19" s="77" customFormat="1" ht="12" x14ac:dyDescent="0.2">
      <c r="A169" s="68">
        <v>147775</v>
      </c>
      <c r="B169" s="68" t="s">
        <v>7298</v>
      </c>
      <c r="C169" s="88">
        <v>106</v>
      </c>
      <c r="D169" s="72" t="s">
        <v>7323</v>
      </c>
      <c r="E169" s="157" t="s">
        <v>19</v>
      </c>
      <c r="F169" s="74">
        <v>42850</v>
      </c>
      <c r="G169" s="95">
        <f>48</f>
        <v>48</v>
      </c>
      <c r="H169" s="63"/>
      <c r="I169" s="63"/>
      <c r="J169" s="63"/>
      <c r="K169" s="133"/>
      <c r="L169" s="63"/>
      <c r="M169" s="63"/>
      <c r="N169" s="63"/>
      <c r="O169" s="63"/>
      <c r="P169" s="63"/>
      <c r="Q169" s="63">
        <f t="shared" si="9"/>
        <v>48</v>
      </c>
      <c r="R169" s="63">
        <f t="shared" si="10"/>
        <v>0</v>
      </c>
      <c r="S169" s="63">
        <f t="shared" si="11"/>
        <v>48</v>
      </c>
    </row>
    <row r="170" spans="1:19" s="77" customFormat="1" ht="12" x14ac:dyDescent="0.2">
      <c r="A170" s="68">
        <v>147775</v>
      </c>
      <c r="B170" s="68" t="s">
        <v>7298</v>
      </c>
      <c r="C170" s="88">
        <v>106</v>
      </c>
      <c r="D170" s="72" t="s">
        <v>7324</v>
      </c>
      <c r="E170" s="157" t="s">
        <v>19</v>
      </c>
      <c r="F170" s="74">
        <v>42850</v>
      </c>
      <c r="G170" s="95">
        <f>106.78</f>
        <v>106.78</v>
      </c>
      <c r="H170" s="63"/>
      <c r="I170" s="63"/>
      <c r="J170" s="63"/>
      <c r="K170" s="133"/>
      <c r="L170" s="63"/>
      <c r="M170" s="63"/>
      <c r="N170" s="63"/>
      <c r="O170" s="63"/>
      <c r="P170" s="63"/>
      <c r="Q170" s="63">
        <f t="shared" si="9"/>
        <v>106.78</v>
      </c>
      <c r="R170" s="63">
        <f t="shared" si="10"/>
        <v>0</v>
      </c>
      <c r="S170" s="63">
        <f t="shared" si="11"/>
        <v>106.78</v>
      </c>
    </row>
    <row r="171" spans="1:19" s="77" customFormat="1" ht="12" x14ac:dyDescent="0.2">
      <c r="A171" s="68">
        <v>147775</v>
      </c>
      <c r="B171" s="68" t="s">
        <v>7298</v>
      </c>
      <c r="C171" s="88">
        <v>106</v>
      </c>
      <c r="D171" s="72" t="s">
        <v>7325</v>
      </c>
      <c r="E171" s="157" t="s">
        <v>19</v>
      </c>
      <c r="F171" s="74">
        <v>42850</v>
      </c>
      <c r="G171" s="95">
        <f>107.9</f>
        <v>107.9</v>
      </c>
      <c r="H171" s="63"/>
      <c r="I171" s="63"/>
      <c r="J171" s="63"/>
      <c r="K171" s="133"/>
      <c r="L171" s="63"/>
      <c r="M171" s="63"/>
      <c r="N171" s="63"/>
      <c r="O171" s="63"/>
      <c r="P171" s="63"/>
      <c r="Q171" s="63">
        <f t="shared" si="9"/>
        <v>107.9</v>
      </c>
      <c r="R171" s="63">
        <f t="shared" si="10"/>
        <v>0</v>
      </c>
      <c r="S171" s="63">
        <f t="shared" si="11"/>
        <v>107.9</v>
      </c>
    </row>
    <row r="172" spans="1:19" s="77" customFormat="1" ht="12" x14ac:dyDescent="0.2">
      <c r="A172" s="68">
        <v>136609</v>
      </c>
      <c r="B172" s="68" t="s">
        <v>7299</v>
      </c>
      <c r="C172" s="88">
        <v>107</v>
      </c>
      <c r="D172" s="72" t="s">
        <v>7326</v>
      </c>
      <c r="E172" s="157" t="s">
        <v>19</v>
      </c>
      <c r="F172" s="74">
        <v>42851</v>
      </c>
      <c r="G172" s="95">
        <f>524+800</f>
        <v>1324</v>
      </c>
      <c r="H172" s="63"/>
      <c r="I172" s="63"/>
      <c r="J172" s="63"/>
      <c r="K172" s="133"/>
      <c r="L172" s="63"/>
      <c r="M172" s="63"/>
      <c r="N172" s="63"/>
      <c r="O172" s="63"/>
      <c r="P172" s="63"/>
      <c r="Q172" s="63">
        <f t="shared" si="9"/>
        <v>1324</v>
      </c>
      <c r="R172" s="63">
        <f t="shared" si="10"/>
        <v>0</v>
      </c>
      <c r="S172" s="63">
        <f t="shared" si="11"/>
        <v>1324</v>
      </c>
    </row>
    <row r="173" spans="1:19" s="77" customFormat="1" ht="12" x14ac:dyDescent="0.2">
      <c r="A173" s="68">
        <v>136609</v>
      </c>
      <c r="B173" s="68" t="s">
        <v>7299</v>
      </c>
      <c r="C173" s="88">
        <v>107</v>
      </c>
      <c r="D173" s="72" t="s">
        <v>7327</v>
      </c>
      <c r="E173" s="157" t="s">
        <v>19</v>
      </c>
      <c r="F173" s="74">
        <v>42851</v>
      </c>
      <c r="G173" s="95">
        <f>465</f>
        <v>465</v>
      </c>
      <c r="H173" s="63"/>
      <c r="I173" s="63"/>
      <c r="J173" s="63"/>
      <c r="K173" s="133"/>
      <c r="L173" s="63"/>
      <c r="M173" s="63"/>
      <c r="N173" s="63"/>
      <c r="O173" s="63"/>
      <c r="P173" s="63"/>
      <c r="Q173" s="63">
        <f t="shared" si="9"/>
        <v>465</v>
      </c>
      <c r="R173" s="63">
        <f t="shared" si="10"/>
        <v>0</v>
      </c>
      <c r="S173" s="63">
        <f t="shared" si="11"/>
        <v>465</v>
      </c>
    </row>
    <row r="174" spans="1:19" s="77" customFormat="1" ht="12" x14ac:dyDescent="0.2">
      <c r="A174" s="68">
        <v>142271</v>
      </c>
      <c r="B174" s="68" t="s">
        <v>7300</v>
      </c>
      <c r="C174" s="88">
        <v>108</v>
      </c>
      <c r="D174" s="72" t="s">
        <v>7328</v>
      </c>
      <c r="E174" s="157" t="s">
        <v>19</v>
      </c>
      <c r="F174" s="74">
        <v>42852</v>
      </c>
      <c r="G174" s="95"/>
      <c r="H174" s="63"/>
      <c r="I174" s="63"/>
      <c r="J174" s="63"/>
      <c r="K174" s="133"/>
      <c r="L174" s="63"/>
      <c r="M174" s="63">
        <v>3500</v>
      </c>
      <c r="N174" s="63"/>
      <c r="O174" s="63">
        <v>16200</v>
      </c>
      <c r="P174" s="63"/>
      <c r="Q174" s="63">
        <f t="shared" si="9"/>
        <v>19700</v>
      </c>
      <c r="R174" s="63">
        <f t="shared" si="10"/>
        <v>0</v>
      </c>
      <c r="S174" s="63">
        <f t="shared" si="11"/>
        <v>19700</v>
      </c>
    </row>
    <row r="175" spans="1:19" s="77" customFormat="1" ht="12" x14ac:dyDescent="0.2">
      <c r="A175" s="68">
        <v>135573</v>
      </c>
      <c r="B175" s="68" t="s">
        <v>7301</v>
      </c>
      <c r="C175" s="88">
        <v>109</v>
      </c>
      <c r="D175" s="72" t="s">
        <v>7329</v>
      </c>
      <c r="E175" s="157" t="s">
        <v>19</v>
      </c>
      <c r="F175" s="74">
        <v>42854</v>
      </c>
      <c r="G175" s="95">
        <f>78.5</f>
        <v>78.5</v>
      </c>
      <c r="H175" s="63"/>
      <c r="I175" s="63"/>
      <c r="J175" s="63"/>
      <c r="K175" s="133"/>
      <c r="L175" s="63"/>
      <c r="M175" s="63"/>
      <c r="N175" s="63"/>
      <c r="O175" s="63"/>
      <c r="P175" s="63"/>
      <c r="Q175" s="63">
        <f t="shared" si="9"/>
        <v>78.5</v>
      </c>
      <c r="R175" s="63">
        <f t="shared" si="10"/>
        <v>0</v>
      </c>
      <c r="S175" s="63">
        <f t="shared" si="11"/>
        <v>78.5</v>
      </c>
    </row>
    <row r="176" spans="1:19" s="77" customFormat="1" ht="12" x14ac:dyDescent="0.2">
      <c r="A176" s="68">
        <v>140096</v>
      </c>
      <c r="B176" s="68" t="s">
        <v>3957</v>
      </c>
      <c r="C176" s="88">
        <v>110</v>
      </c>
      <c r="D176" s="72" t="s">
        <v>7330</v>
      </c>
      <c r="E176" s="157" t="s">
        <v>19</v>
      </c>
      <c r="F176" s="74">
        <v>42855</v>
      </c>
      <c r="G176" s="95">
        <f>60.9</f>
        <v>60.9</v>
      </c>
      <c r="H176" s="63"/>
      <c r="I176" s="63"/>
      <c r="J176" s="63"/>
      <c r="K176" s="133"/>
      <c r="L176" s="63"/>
      <c r="M176" s="63"/>
      <c r="N176" s="63"/>
      <c r="O176" s="63"/>
      <c r="P176" s="63"/>
      <c r="Q176" s="63">
        <f t="shared" si="9"/>
        <v>60.9</v>
      </c>
      <c r="R176" s="63">
        <f t="shared" si="10"/>
        <v>0</v>
      </c>
      <c r="S176" s="63">
        <f t="shared" si="11"/>
        <v>60.9</v>
      </c>
    </row>
    <row r="177" spans="1:19" s="77" customFormat="1" ht="12" x14ac:dyDescent="0.2">
      <c r="A177" s="68">
        <v>140096</v>
      </c>
      <c r="B177" s="68" t="s">
        <v>3957</v>
      </c>
      <c r="C177" s="88">
        <v>110</v>
      </c>
      <c r="D177" s="72" t="s">
        <v>7331</v>
      </c>
      <c r="E177" s="157" t="s">
        <v>19</v>
      </c>
      <c r="F177" s="74">
        <v>42855</v>
      </c>
      <c r="G177" s="95">
        <f>125.9</f>
        <v>125.9</v>
      </c>
      <c r="H177" s="63"/>
      <c r="I177" s="63"/>
      <c r="J177" s="63"/>
      <c r="K177" s="133"/>
      <c r="L177" s="63"/>
      <c r="M177" s="63"/>
      <c r="N177" s="63"/>
      <c r="O177" s="63"/>
      <c r="P177" s="63"/>
      <c r="Q177" s="63">
        <f t="shared" si="9"/>
        <v>125.9</v>
      </c>
      <c r="R177" s="63">
        <f t="shared" si="10"/>
        <v>0</v>
      </c>
      <c r="S177" s="63">
        <f t="shared" si="11"/>
        <v>125.9</v>
      </c>
    </row>
    <row r="178" spans="1:19" s="77" customFormat="1" ht="12" x14ac:dyDescent="0.2">
      <c r="A178" s="68">
        <v>140096</v>
      </c>
      <c r="B178" s="68" t="s">
        <v>3957</v>
      </c>
      <c r="C178" s="88">
        <v>110</v>
      </c>
      <c r="D178" s="72" t="s">
        <v>7332</v>
      </c>
      <c r="E178" s="157" t="s">
        <v>19</v>
      </c>
      <c r="F178" s="74">
        <v>42855</v>
      </c>
      <c r="G178" s="95"/>
      <c r="H178" s="63"/>
      <c r="I178" s="63"/>
      <c r="J178" s="63"/>
      <c r="K178" s="133"/>
      <c r="L178" s="63"/>
      <c r="M178" s="63"/>
      <c r="N178" s="63"/>
      <c r="O178" s="63"/>
      <c r="P178" s="63"/>
      <c r="Q178" s="63">
        <f t="shared" si="9"/>
        <v>0</v>
      </c>
      <c r="R178" s="63">
        <f t="shared" si="10"/>
        <v>0</v>
      </c>
      <c r="S178" s="63">
        <f t="shared" si="11"/>
        <v>0</v>
      </c>
    </row>
    <row r="179" spans="1:19" s="77" customFormat="1" ht="12" x14ac:dyDescent="0.2">
      <c r="A179" s="68">
        <v>144176</v>
      </c>
      <c r="B179" s="68" t="s">
        <v>7333</v>
      </c>
      <c r="C179" s="88">
        <v>111</v>
      </c>
      <c r="D179" s="77" t="s">
        <v>7362</v>
      </c>
      <c r="E179" s="157" t="s">
        <v>19</v>
      </c>
      <c r="F179" s="74">
        <v>42856</v>
      </c>
      <c r="G179" s="95">
        <f>40</f>
        <v>40</v>
      </c>
      <c r="H179" s="63"/>
      <c r="I179" s="63"/>
      <c r="J179" s="63"/>
      <c r="K179" s="133"/>
      <c r="L179" s="63"/>
      <c r="M179" s="63"/>
      <c r="N179" s="63"/>
      <c r="O179" s="63"/>
      <c r="P179" s="63"/>
      <c r="Q179" s="63">
        <f t="shared" si="9"/>
        <v>40</v>
      </c>
      <c r="R179" s="63">
        <f t="shared" si="10"/>
        <v>0</v>
      </c>
      <c r="S179" s="63">
        <f t="shared" si="11"/>
        <v>40</v>
      </c>
    </row>
    <row r="180" spans="1:19" s="77" customFormat="1" ht="12" x14ac:dyDescent="0.2">
      <c r="A180" s="68">
        <v>144176</v>
      </c>
      <c r="B180" s="68" t="s">
        <v>7333</v>
      </c>
      <c r="C180" s="88">
        <v>111</v>
      </c>
      <c r="D180" s="72" t="s">
        <v>7363</v>
      </c>
      <c r="E180" s="157" t="s">
        <v>19</v>
      </c>
      <c r="F180" s="74">
        <v>42856</v>
      </c>
      <c r="G180" s="95">
        <v>40</v>
      </c>
      <c r="H180" s="63"/>
      <c r="I180" s="63"/>
      <c r="J180" s="63"/>
      <c r="K180" s="133"/>
      <c r="L180" s="63"/>
      <c r="M180" s="63"/>
      <c r="N180" s="63"/>
      <c r="O180" s="63"/>
      <c r="P180" s="63"/>
      <c r="Q180" s="63">
        <f t="shared" si="9"/>
        <v>40</v>
      </c>
      <c r="R180" s="63">
        <f t="shared" si="10"/>
        <v>0</v>
      </c>
      <c r="S180" s="63">
        <f t="shared" si="11"/>
        <v>40</v>
      </c>
    </row>
    <row r="181" spans="1:19" s="77" customFormat="1" ht="12" x14ac:dyDescent="0.2">
      <c r="A181" s="68">
        <v>144176</v>
      </c>
      <c r="B181" s="68" t="s">
        <v>7333</v>
      </c>
      <c r="C181" s="88">
        <v>111</v>
      </c>
      <c r="D181" s="72" t="s">
        <v>7364</v>
      </c>
      <c r="E181" s="157" t="s">
        <v>19</v>
      </c>
      <c r="F181" s="74">
        <v>42856</v>
      </c>
      <c r="G181" s="95"/>
      <c r="H181" s="63"/>
      <c r="I181" s="63"/>
      <c r="J181" s="63"/>
      <c r="K181" s="133"/>
      <c r="L181" s="63"/>
      <c r="M181" s="63"/>
      <c r="N181" s="63"/>
      <c r="O181" s="63"/>
      <c r="P181" s="63"/>
      <c r="Q181" s="63">
        <f t="shared" si="9"/>
        <v>0</v>
      </c>
      <c r="R181" s="63">
        <f t="shared" si="10"/>
        <v>0</v>
      </c>
      <c r="S181" s="63">
        <f t="shared" si="11"/>
        <v>0</v>
      </c>
    </row>
    <row r="182" spans="1:19" s="77" customFormat="1" ht="12" x14ac:dyDescent="0.2">
      <c r="A182" s="68">
        <v>2414</v>
      </c>
      <c r="B182" s="68" t="s">
        <v>7334</v>
      </c>
      <c r="C182" s="88">
        <v>112</v>
      </c>
      <c r="D182" s="72" t="s">
        <v>7365</v>
      </c>
      <c r="E182" s="157" t="s">
        <v>19</v>
      </c>
      <c r="F182" s="74">
        <v>42856</v>
      </c>
      <c r="G182" s="95">
        <v>109.15</v>
      </c>
      <c r="H182" s="63"/>
      <c r="I182" s="63"/>
      <c r="J182" s="63"/>
      <c r="K182" s="133"/>
      <c r="L182" s="63"/>
      <c r="M182" s="63"/>
      <c r="N182" s="63"/>
      <c r="O182" s="63"/>
      <c r="P182" s="63"/>
      <c r="Q182" s="63">
        <f t="shared" si="9"/>
        <v>109.15</v>
      </c>
      <c r="R182" s="63">
        <f t="shared" si="10"/>
        <v>0</v>
      </c>
      <c r="S182" s="63">
        <f t="shared" si="11"/>
        <v>109.15</v>
      </c>
    </row>
    <row r="183" spans="1:19" s="77" customFormat="1" ht="12" x14ac:dyDescent="0.2">
      <c r="A183" s="68">
        <v>1262</v>
      </c>
      <c r="B183" s="68" t="s">
        <v>7335</v>
      </c>
      <c r="C183" s="88">
        <v>113</v>
      </c>
      <c r="D183" s="72" t="s">
        <v>7366</v>
      </c>
      <c r="E183" s="157" t="s">
        <v>19</v>
      </c>
      <c r="F183" s="74">
        <v>42857</v>
      </c>
      <c r="G183" s="95">
        <f>127+913.48</f>
        <v>1040.48</v>
      </c>
      <c r="H183" s="63"/>
      <c r="I183" s="63"/>
      <c r="J183" s="63"/>
      <c r="K183" s="133"/>
      <c r="L183" s="63"/>
      <c r="M183" s="63"/>
      <c r="N183" s="63"/>
      <c r="O183" s="63"/>
      <c r="P183" s="63"/>
      <c r="Q183" s="63">
        <f t="shared" si="9"/>
        <v>1040.48</v>
      </c>
      <c r="R183" s="63">
        <f t="shared" si="10"/>
        <v>0</v>
      </c>
      <c r="S183" s="63">
        <f t="shared" si="11"/>
        <v>1040.48</v>
      </c>
    </row>
    <row r="184" spans="1:19" s="77" customFormat="1" ht="12" x14ac:dyDescent="0.2">
      <c r="A184" s="68">
        <v>146841</v>
      </c>
      <c r="B184" s="68" t="s">
        <v>7336</v>
      </c>
      <c r="C184" s="88">
        <v>114</v>
      </c>
      <c r="D184" s="72" t="s">
        <v>7367</v>
      </c>
      <c r="E184" s="157" t="s">
        <v>19</v>
      </c>
      <c r="F184" s="74">
        <v>42857</v>
      </c>
      <c r="G184" s="95">
        <f>124.09</f>
        <v>124.09</v>
      </c>
      <c r="H184" s="63"/>
      <c r="I184" s="63"/>
      <c r="J184" s="63"/>
      <c r="K184" s="133"/>
      <c r="L184" s="63"/>
      <c r="M184" s="63"/>
      <c r="N184" s="63"/>
      <c r="O184" s="63"/>
      <c r="P184" s="63"/>
      <c r="Q184" s="63">
        <f t="shared" si="9"/>
        <v>124.09</v>
      </c>
      <c r="R184" s="63">
        <f t="shared" si="10"/>
        <v>0</v>
      </c>
      <c r="S184" s="63">
        <f t="shared" si="11"/>
        <v>124.09</v>
      </c>
    </row>
    <row r="185" spans="1:19" s="77" customFormat="1" ht="12" x14ac:dyDescent="0.2">
      <c r="A185" s="68">
        <v>145019</v>
      </c>
      <c r="B185" s="68" t="s">
        <v>7337</v>
      </c>
      <c r="C185" s="88">
        <v>115</v>
      </c>
      <c r="D185" s="72" t="s">
        <v>7368</v>
      </c>
      <c r="E185" s="157" t="s">
        <v>19</v>
      </c>
      <c r="F185" s="74">
        <v>42857</v>
      </c>
      <c r="G185" s="95"/>
      <c r="H185" s="63"/>
      <c r="I185" s="63"/>
      <c r="J185" s="63"/>
      <c r="K185" s="133"/>
      <c r="L185" s="63"/>
      <c r="M185" s="63"/>
      <c r="N185" s="63"/>
      <c r="O185" s="63"/>
      <c r="P185" s="63"/>
      <c r="Q185" s="63">
        <f t="shared" si="9"/>
        <v>0</v>
      </c>
      <c r="R185" s="63">
        <f t="shared" si="10"/>
        <v>0</v>
      </c>
      <c r="S185" s="63">
        <f t="shared" si="11"/>
        <v>0</v>
      </c>
    </row>
    <row r="186" spans="1:19" s="77" customFormat="1" ht="12" x14ac:dyDescent="0.2">
      <c r="A186" s="68">
        <v>2796</v>
      </c>
      <c r="B186" s="68" t="s">
        <v>7338</v>
      </c>
      <c r="C186" s="88">
        <v>116</v>
      </c>
      <c r="D186" s="72" t="s">
        <v>7369</v>
      </c>
      <c r="E186" s="157" t="s">
        <v>19</v>
      </c>
      <c r="F186" s="74">
        <v>42858</v>
      </c>
      <c r="G186" s="95">
        <v>127.44</v>
      </c>
      <c r="H186" s="63"/>
      <c r="I186" s="63"/>
      <c r="J186" s="63"/>
      <c r="K186" s="133"/>
      <c r="L186" s="63"/>
      <c r="M186" s="63"/>
      <c r="N186" s="63"/>
      <c r="O186" s="63"/>
      <c r="P186" s="63"/>
      <c r="Q186" s="63">
        <f t="shared" si="9"/>
        <v>127.44</v>
      </c>
      <c r="R186" s="63">
        <f t="shared" si="10"/>
        <v>0</v>
      </c>
      <c r="S186" s="63">
        <f t="shared" si="11"/>
        <v>127.44</v>
      </c>
    </row>
    <row r="187" spans="1:19" s="77" customFormat="1" ht="12" x14ac:dyDescent="0.2">
      <c r="A187" s="68">
        <v>2796</v>
      </c>
      <c r="B187" s="68" t="s">
        <v>7338</v>
      </c>
      <c r="C187" s="88">
        <v>116</v>
      </c>
      <c r="D187" s="72" t="s">
        <v>7370</v>
      </c>
      <c r="E187" s="157" t="s">
        <v>19</v>
      </c>
      <c r="F187" s="74">
        <v>42858</v>
      </c>
      <c r="G187" s="95">
        <v>154.52000000000001</v>
      </c>
      <c r="H187" s="63"/>
      <c r="I187" s="63"/>
      <c r="J187" s="63"/>
      <c r="K187" s="133"/>
      <c r="L187" s="63"/>
      <c r="M187" s="63"/>
      <c r="N187" s="63"/>
      <c r="O187" s="63"/>
      <c r="P187" s="63"/>
      <c r="Q187" s="63">
        <f t="shared" si="9"/>
        <v>154.52000000000001</v>
      </c>
      <c r="R187" s="63">
        <f t="shared" si="10"/>
        <v>0</v>
      </c>
      <c r="S187" s="63">
        <f t="shared" si="11"/>
        <v>154.52000000000001</v>
      </c>
    </row>
    <row r="188" spans="1:19" s="77" customFormat="1" ht="12" x14ac:dyDescent="0.2">
      <c r="A188" s="68">
        <v>2790</v>
      </c>
      <c r="B188" s="68" t="s">
        <v>7339</v>
      </c>
      <c r="C188" s="88">
        <v>117</v>
      </c>
      <c r="D188" s="72" t="s">
        <v>7371</v>
      </c>
      <c r="E188" s="157" t="s">
        <v>19</v>
      </c>
      <c r="F188" s="74">
        <v>42860</v>
      </c>
      <c r="G188" s="95">
        <f>56.72</f>
        <v>56.72</v>
      </c>
      <c r="H188" s="63"/>
      <c r="I188" s="63"/>
      <c r="J188" s="63"/>
      <c r="K188" s="133"/>
      <c r="L188" s="63"/>
      <c r="M188" s="63"/>
      <c r="N188" s="63"/>
      <c r="O188" s="63"/>
      <c r="P188" s="63"/>
      <c r="Q188" s="63">
        <f t="shared" si="9"/>
        <v>56.72</v>
      </c>
      <c r="R188" s="63">
        <f t="shared" si="10"/>
        <v>0</v>
      </c>
      <c r="S188" s="63">
        <f t="shared" si="11"/>
        <v>56.72</v>
      </c>
    </row>
    <row r="189" spans="1:19" s="77" customFormat="1" ht="12" x14ac:dyDescent="0.2">
      <c r="A189" s="68">
        <v>136220</v>
      </c>
      <c r="B189" s="68" t="s">
        <v>7340</v>
      </c>
      <c r="C189" s="88">
        <v>118</v>
      </c>
      <c r="D189" s="72" t="s">
        <v>7372</v>
      </c>
      <c r="E189" s="157" t="s">
        <v>19</v>
      </c>
      <c r="F189" s="74">
        <v>42861</v>
      </c>
      <c r="G189" s="95">
        <f>840.75+62.09+102.91+99.24</f>
        <v>1104.99</v>
      </c>
      <c r="H189" s="63"/>
      <c r="I189" s="63"/>
      <c r="J189" s="63"/>
      <c r="K189" s="133"/>
      <c r="L189" s="63"/>
      <c r="M189" s="63"/>
      <c r="N189" s="63"/>
      <c r="O189" s="63"/>
      <c r="P189" s="63"/>
      <c r="Q189" s="63">
        <f t="shared" si="9"/>
        <v>1104.99</v>
      </c>
      <c r="R189" s="63">
        <f t="shared" si="10"/>
        <v>0</v>
      </c>
      <c r="S189" s="63">
        <f t="shared" si="11"/>
        <v>1104.99</v>
      </c>
    </row>
    <row r="190" spans="1:19" s="77" customFormat="1" ht="12" x14ac:dyDescent="0.2">
      <c r="A190" s="68">
        <v>2307</v>
      </c>
      <c r="B190" s="68" t="s">
        <v>7341</v>
      </c>
      <c r="C190" s="88">
        <v>119</v>
      </c>
      <c r="D190" s="72" t="s">
        <v>7373</v>
      </c>
      <c r="E190" s="157" t="s">
        <v>19</v>
      </c>
      <c r="F190" s="74">
        <v>42862</v>
      </c>
      <c r="G190" s="95">
        <f>2306.52+168.7+103.01+73.93+143.22</f>
        <v>2795.3799999999997</v>
      </c>
      <c r="H190" s="63"/>
      <c r="I190" s="63">
        <f>566.67</f>
        <v>566.66999999999996</v>
      </c>
      <c r="J190" s="63"/>
      <c r="K190" s="133"/>
      <c r="L190" s="63"/>
      <c r="M190" s="63"/>
      <c r="N190" s="63"/>
      <c r="O190" s="63"/>
      <c r="P190" s="63"/>
      <c r="Q190" s="63">
        <f t="shared" si="9"/>
        <v>3362.0499999999997</v>
      </c>
      <c r="R190" s="63">
        <f t="shared" si="10"/>
        <v>0</v>
      </c>
      <c r="S190" s="63">
        <f t="shared" si="11"/>
        <v>3362.0499999999997</v>
      </c>
    </row>
    <row r="191" spans="1:19" s="77" customFormat="1" ht="12" x14ac:dyDescent="0.2">
      <c r="A191" s="68">
        <v>143676</v>
      </c>
      <c r="B191" s="68" t="s">
        <v>7342</v>
      </c>
      <c r="C191" s="88">
        <v>120</v>
      </c>
      <c r="D191" s="72" t="s">
        <v>7374</v>
      </c>
      <c r="E191" s="157" t="s">
        <v>19</v>
      </c>
      <c r="F191" s="74">
        <v>42864</v>
      </c>
      <c r="G191" s="95">
        <f>59+704.02+295</f>
        <v>1058.02</v>
      </c>
      <c r="H191" s="63"/>
      <c r="I191" s="63">
        <v>850</v>
      </c>
      <c r="J191" s="63"/>
      <c r="K191" s="133"/>
      <c r="L191" s="63"/>
      <c r="M191" s="63"/>
      <c r="N191" s="63"/>
      <c r="O191" s="63"/>
      <c r="P191" s="63"/>
      <c r="Q191" s="63">
        <f t="shared" si="9"/>
        <v>1908.02</v>
      </c>
      <c r="R191" s="63">
        <f t="shared" si="10"/>
        <v>0</v>
      </c>
      <c r="S191" s="63">
        <f t="shared" si="11"/>
        <v>1908.02</v>
      </c>
    </row>
    <row r="192" spans="1:19" s="77" customFormat="1" ht="12" x14ac:dyDescent="0.2">
      <c r="A192" s="68">
        <v>143676</v>
      </c>
      <c r="B192" s="68" t="s">
        <v>7342</v>
      </c>
      <c r="C192" s="88">
        <v>120</v>
      </c>
      <c r="D192" s="72" t="s">
        <v>7375</v>
      </c>
      <c r="E192" s="157" t="s">
        <v>19</v>
      </c>
      <c r="F192" s="74">
        <v>42864</v>
      </c>
      <c r="G192" s="95">
        <f>469.9</f>
        <v>469.9</v>
      </c>
      <c r="H192" s="63"/>
      <c r="I192" s="63"/>
      <c r="J192" s="63"/>
      <c r="K192" s="133"/>
      <c r="L192" s="63"/>
      <c r="M192" s="63"/>
      <c r="N192" s="63"/>
      <c r="O192" s="63"/>
      <c r="P192" s="63"/>
      <c r="Q192" s="63">
        <f t="shared" si="9"/>
        <v>469.9</v>
      </c>
      <c r="R192" s="63">
        <f t="shared" si="10"/>
        <v>0</v>
      </c>
      <c r="S192" s="63">
        <f t="shared" si="11"/>
        <v>469.9</v>
      </c>
    </row>
    <row r="193" spans="1:19" s="77" customFormat="1" ht="12" x14ac:dyDescent="0.2">
      <c r="A193" s="68">
        <v>136434</v>
      </c>
      <c r="B193" s="68" t="s">
        <v>7343</v>
      </c>
      <c r="C193" s="88">
        <v>121</v>
      </c>
      <c r="D193" s="72" t="s">
        <v>7376</v>
      </c>
      <c r="E193" s="157" t="s">
        <v>19</v>
      </c>
      <c r="F193" s="74">
        <v>42864</v>
      </c>
      <c r="G193" s="95">
        <v>49.4</v>
      </c>
      <c r="H193" s="63"/>
      <c r="I193" s="63"/>
      <c r="J193" s="63"/>
      <c r="K193" s="133"/>
      <c r="L193" s="63"/>
      <c r="M193" s="63"/>
      <c r="N193" s="63"/>
      <c r="O193" s="63"/>
      <c r="P193" s="63"/>
      <c r="Q193" s="63">
        <f t="shared" si="9"/>
        <v>49.4</v>
      </c>
      <c r="R193" s="63">
        <f t="shared" si="10"/>
        <v>0</v>
      </c>
      <c r="S193" s="63">
        <f t="shared" si="11"/>
        <v>49.4</v>
      </c>
    </row>
    <row r="194" spans="1:19" s="77" customFormat="1" ht="12" x14ac:dyDescent="0.2">
      <c r="A194" s="68">
        <v>2577</v>
      </c>
      <c r="B194" s="68" t="s">
        <v>7344</v>
      </c>
      <c r="C194" s="88">
        <v>122</v>
      </c>
      <c r="D194" s="72" t="s">
        <v>7377</v>
      </c>
      <c r="E194" s="157" t="s">
        <v>19</v>
      </c>
      <c r="F194" s="74">
        <v>42865</v>
      </c>
      <c r="G194" s="95">
        <f>130</f>
        <v>130</v>
      </c>
      <c r="H194" s="63"/>
      <c r="I194" s="63"/>
      <c r="J194" s="63"/>
      <c r="K194" s="133"/>
      <c r="L194" s="63"/>
      <c r="M194" s="63"/>
      <c r="N194" s="63"/>
      <c r="O194" s="63"/>
      <c r="P194" s="63"/>
      <c r="Q194" s="63">
        <f t="shared" si="9"/>
        <v>130</v>
      </c>
      <c r="R194" s="63">
        <f t="shared" si="10"/>
        <v>0</v>
      </c>
      <c r="S194" s="63">
        <f t="shared" si="11"/>
        <v>130</v>
      </c>
    </row>
    <row r="195" spans="1:19" s="77" customFormat="1" ht="12" x14ac:dyDescent="0.2">
      <c r="A195" s="68">
        <v>145275</v>
      </c>
      <c r="B195" s="68" t="s">
        <v>7345</v>
      </c>
      <c r="C195" s="88">
        <v>123</v>
      </c>
      <c r="D195" s="72" t="s">
        <v>7378</v>
      </c>
      <c r="E195" s="157" t="s">
        <v>19</v>
      </c>
      <c r="F195" s="74">
        <v>42867</v>
      </c>
      <c r="G195" s="95">
        <f>40</f>
        <v>40</v>
      </c>
      <c r="H195" s="63"/>
      <c r="I195" s="63"/>
      <c r="J195" s="63"/>
      <c r="K195" s="133"/>
      <c r="L195" s="63"/>
      <c r="M195" s="63"/>
      <c r="N195" s="63"/>
      <c r="O195" s="63"/>
      <c r="P195" s="63"/>
      <c r="Q195" s="63">
        <f t="shared" si="9"/>
        <v>40</v>
      </c>
      <c r="R195" s="63">
        <f t="shared" si="10"/>
        <v>0</v>
      </c>
      <c r="S195" s="63">
        <f t="shared" si="11"/>
        <v>40</v>
      </c>
    </row>
    <row r="196" spans="1:19" s="77" customFormat="1" ht="12" x14ac:dyDescent="0.2">
      <c r="A196" s="68">
        <v>145275</v>
      </c>
      <c r="B196" s="68" t="s">
        <v>7345</v>
      </c>
      <c r="C196" s="88">
        <v>123</v>
      </c>
      <c r="D196" s="72" t="s">
        <v>7379</v>
      </c>
      <c r="E196" s="157" t="s">
        <v>19</v>
      </c>
      <c r="F196" s="74">
        <v>42867</v>
      </c>
      <c r="G196" s="95">
        <v>48</v>
      </c>
      <c r="H196" s="63"/>
      <c r="I196" s="63"/>
      <c r="J196" s="63"/>
      <c r="K196" s="133"/>
      <c r="L196" s="63"/>
      <c r="M196" s="63"/>
      <c r="N196" s="63"/>
      <c r="O196" s="63"/>
      <c r="P196" s="63"/>
      <c r="Q196" s="63">
        <f t="shared" si="9"/>
        <v>48</v>
      </c>
      <c r="R196" s="63">
        <f t="shared" si="10"/>
        <v>0</v>
      </c>
      <c r="S196" s="63">
        <f t="shared" si="11"/>
        <v>48</v>
      </c>
    </row>
    <row r="197" spans="1:19" s="77" customFormat="1" ht="12" x14ac:dyDescent="0.2">
      <c r="A197" s="68">
        <v>145171</v>
      </c>
      <c r="B197" s="68" t="s">
        <v>4401</v>
      </c>
      <c r="C197" s="88">
        <v>124</v>
      </c>
      <c r="D197" s="72" t="s">
        <v>7380</v>
      </c>
      <c r="E197" s="157" t="s">
        <v>19</v>
      </c>
      <c r="F197" s="74">
        <v>42867</v>
      </c>
      <c r="G197" s="95">
        <f>687.1</f>
        <v>687.1</v>
      </c>
      <c r="H197" s="63"/>
      <c r="I197" s="63"/>
      <c r="J197" s="63"/>
      <c r="K197" s="133"/>
      <c r="L197" s="63"/>
      <c r="M197" s="63"/>
      <c r="N197" s="63"/>
      <c r="O197" s="63"/>
      <c r="P197" s="63"/>
      <c r="Q197" s="63">
        <f t="shared" si="9"/>
        <v>687.1</v>
      </c>
      <c r="R197" s="63">
        <f t="shared" si="10"/>
        <v>0</v>
      </c>
      <c r="S197" s="63">
        <f t="shared" si="11"/>
        <v>687.1</v>
      </c>
    </row>
    <row r="198" spans="1:19" s="77" customFormat="1" ht="12" x14ac:dyDescent="0.2">
      <c r="A198" s="68">
        <v>3318</v>
      </c>
      <c r="B198" s="68" t="s">
        <v>6573</v>
      </c>
      <c r="C198" s="88">
        <v>125</v>
      </c>
      <c r="D198" s="72" t="s">
        <v>7381</v>
      </c>
      <c r="E198" s="155" t="s">
        <v>7256</v>
      </c>
      <c r="F198" s="74">
        <v>42867</v>
      </c>
      <c r="G198" s="95">
        <f>1589.14+62.33+41.3</f>
        <v>1692.77</v>
      </c>
      <c r="H198" s="63"/>
      <c r="I198" s="63"/>
      <c r="J198" s="63"/>
      <c r="K198" s="133"/>
      <c r="L198" s="63"/>
      <c r="M198" s="63"/>
      <c r="N198" s="63"/>
      <c r="O198" s="63"/>
      <c r="P198" s="63"/>
      <c r="Q198" s="63">
        <f t="shared" si="9"/>
        <v>1692.77</v>
      </c>
      <c r="R198" s="63">
        <f t="shared" si="10"/>
        <v>0</v>
      </c>
      <c r="S198" s="63">
        <f t="shared" si="11"/>
        <v>1692.77</v>
      </c>
    </row>
    <row r="199" spans="1:19" s="77" customFormat="1" ht="12" x14ac:dyDescent="0.2">
      <c r="A199" s="68">
        <v>3318</v>
      </c>
      <c r="B199" s="68" t="s">
        <v>6573</v>
      </c>
      <c r="C199" s="88">
        <v>125</v>
      </c>
      <c r="D199" s="72" t="s">
        <v>7382</v>
      </c>
      <c r="E199" s="157" t="s">
        <v>19</v>
      </c>
      <c r="F199" s="74">
        <v>42867</v>
      </c>
      <c r="G199" s="95">
        <f>527.78+41.3+41.3+71.65</f>
        <v>682.02999999999986</v>
      </c>
      <c r="H199" s="63"/>
      <c r="I199" s="63"/>
      <c r="J199" s="63"/>
      <c r="K199" s="133"/>
      <c r="L199" s="63"/>
      <c r="M199" s="63"/>
      <c r="N199" s="63"/>
      <c r="O199" s="63"/>
      <c r="P199" s="63"/>
      <c r="Q199" s="63">
        <f t="shared" si="9"/>
        <v>682.02999999999986</v>
      </c>
      <c r="R199" s="63">
        <f t="shared" si="10"/>
        <v>0</v>
      </c>
      <c r="S199" s="63">
        <f t="shared" si="11"/>
        <v>682.02999999999986</v>
      </c>
    </row>
    <row r="200" spans="1:19" s="77" customFormat="1" ht="12" x14ac:dyDescent="0.2">
      <c r="A200" s="68">
        <v>145663</v>
      </c>
      <c r="B200" s="68" t="s">
        <v>7346</v>
      </c>
      <c r="C200" s="88">
        <v>126</v>
      </c>
      <c r="D200" s="72" t="s">
        <v>7383</v>
      </c>
      <c r="E200" s="157" t="s">
        <v>19</v>
      </c>
      <c r="F200" s="74">
        <v>42867</v>
      </c>
      <c r="G200" s="95">
        <f>179+64.31+274.7+107.01</f>
        <v>625.02</v>
      </c>
      <c r="H200" s="63"/>
      <c r="I200" s="63">
        <v>850</v>
      </c>
      <c r="J200" s="63"/>
      <c r="K200" s="133"/>
      <c r="L200" s="63"/>
      <c r="M200" s="63"/>
      <c r="N200" s="63"/>
      <c r="O200" s="63"/>
      <c r="P200" s="63"/>
      <c r="Q200" s="63">
        <f t="shared" si="9"/>
        <v>1475.02</v>
      </c>
      <c r="R200" s="63">
        <f t="shared" si="10"/>
        <v>0</v>
      </c>
      <c r="S200" s="63">
        <f t="shared" si="11"/>
        <v>1475.02</v>
      </c>
    </row>
    <row r="201" spans="1:19" s="77" customFormat="1" ht="12" x14ac:dyDescent="0.2">
      <c r="A201" s="68">
        <v>145471</v>
      </c>
      <c r="B201" s="68" t="s">
        <v>7347</v>
      </c>
      <c r="C201" s="88">
        <v>127</v>
      </c>
      <c r="D201" s="72" t="s">
        <v>7384</v>
      </c>
      <c r="E201" s="157" t="s">
        <v>19</v>
      </c>
      <c r="F201" s="74">
        <v>42868</v>
      </c>
      <c r="G201" s="95">
        <v>40</v>
      </c>
      <c r="H201" s="63"/>
      <c r="I201" s="63"/>
      <c r="J201" s="63"/>
      <c r="K201" s="133"/>
      <c r="L201" s="63"/>
      <c r="M201" s="63"/>
      <c r="N201" s="63"/>
      <c r="O201" s="63"/>
      <c r="P201" s="63"/>
      <c r="Q201" s="63">
        <f t="shared" si="9"/>
        <v>40</v>
      </c>
      <c r="R201" s="63">
        <f t="shared" si="10"/>
        <v>0</v>
      </c>
      <c r="S201" s="63">
        <f t="shared" si="11"/>
        <v>40</v>
      </c>
    </row>
    <row r="202" spans="1:19" s="77" customFormat="1" ht="12" x14ac:dyDescent="0.2">
      <c r="A202" s="68">
        <v>145471</v>
      </c>
      <c r="B202" s="68" t="s">
        <v>7347</v>
      </c>
      <c r="C202" s="88">
        <v>127</v>
      </c>
      <c r="D202" s="72" t="s">
        <v>7385</v>
      </c>
      <c r="E202" s="157" t="s">
        <v>19</v>
      </c>
      <c r="F202" s="74">
        <v>42868</v>
      </c>
      <c r="G202" s="95">
        <f>40</f>
        <v>40</v>
      </c>
      <c r="H202" s="63"/>
      <c r="I202" s="63"/>
      <c r="J202" s="63"/>
      <c r="K202" s="133"/>
      <c r="L202" s="63"/>
      <c r="M202" s="63"/>
      <c r="N202" s="63"/>
      <c r="O202" s="63"/>
      <c r="P202" s="63"/>
      <c r="Q202" s="63">
        <f t="shared" si="9"/>
        <v>40</v>
      </c>
      <c r="R202" s="63">
        <f t="shared" si="10"/>
        <v>0</v>
      </c>
      <c r="S202" s="63">
        <f t="shared" si="11"/>
        <v>40</v>
      </c>
    </row>
    <row r="203" spans="1:19" s="77" customFormat="1" ht="12" x14ac:dyDescent="0.2">
      <c r="A203" s="68">
        <v>138260</v>
      </c>
      <c r="B203" s="68" t="s">
        <v>7348</v>
      </c>
      <c r="C203" s="88">
        <v>128</v>
      </c>
      <c r="D203" s="72" t="s">
        <v>7386</v>
      </c>
      <c r="E203" s="155" t="s">
        <v>7256</v>
      </c>
      <c r="F203" s="74">
        <v>42870</v>
      </c>
      <c r="G203" s="95"/>
      <c r="H203" s="63"/>
      <c r="I203" s="63"/>
      <c r="J203" s="63"/>
      <c r="K203" s="133"/>
      <c r="L203" s="63"/>
      <c r="M203" s="63"/>
      <c r="N203" s="63"/>
      <c r="O203" s="63"/>
      <c r="P203" s="63"/>
      <c r="Q203" s="63">
        <f t="shared" si="9"/>
        <v>0</v>
      </c>
      <c r="R203" s="63">
        <f t="shared" si="10"/>
        <v>0</v>
      </c>
      <c r="S203" s="63">
        <f t="shared" si="11"/>
        <v>0</v>
      </c>
    </row>
    <row r="204" spans="1:19" s="77" customFormat="1" ht="12" x14ac:dyDescent="0.2">
      <c r="A204" s="68">
        <v>3705</v>
      </c>
      <c r="B204" s="68" t="s">
        <v>7349</v>
      </c>
      <c r="C204" s="88">
        <v>129</v>
      </c>
      <c r="D204" s="72" t="s">
        <v>7387</v>
      </c>
      <c r="E204" s="157" t="s">
        <v>19</v>
      </c>
      <c r="F204" s="74">
        <v>42870</v>
      </c>
      <c r="G204" s="95">
        <f>116.84</f>
        <v>116.84</v>
      </c>
      <c r="H204" s="63"/>
      <c r="I204" s="63"/>
      <c r="J204" s="63"/>
      <c r="K204" s="133"/>
      <c r="L204" s="63"/>
      <c r="M204" s="63"/>
      <c r="N204" s="63"/>
      <c r="O204" s="63"/>
      <c r="P204" s="63"/>
      <c r="Q204" s="63">
        <f t="shared" si="9"/>
        <v>116.84</v>
      </c>
      <c r="R204" s="63">
        <f t="shared" si="10"/>
        <v>0</v>
      </c>
      <c r="S204" s="63">
        <f t="shared" si="11"/>
        <v>116.84</v>
      </c>
    </row>
    <row r="205" spans="1:19" s="77" customFormat="1" ht="12" x14ac:dyDescent="0.2">
      <c r="A205" s="68">
        <v>1258</v>
      </c>
      <c r="B205" s="68" t="s">
        <v>7350</v>
      </c>
      <c r="C205" s="88">
        <v>130</v>
      </c>
      <c r="D205" s="72" t="s">
        <v>7388</v>
      </c>
      <c r="E205" s="157" t="s">
        <v>19</v>
      </c>
      <c r="F205" s="74">
        <v>42871</v>
      </c>
      <c r="G205" s="95">
        <f>204.5+465.23+94.8</f>
        <v>764.53</v>
      </c>
      <c r="H205" s="63"/>
      <c r="I205" s="63">
        <v>283.33</v>
      </c>
      <c r="J205" s="63"/>
      <c r="K205" s="133"/>
      <c r="L205" s="63"/>
      <c r="M205" s="63"/>
      <c r="N205" s="63"/>
      <c r="O205" s="63"/>
      <c r="P205" s="63"/>
      <c r="Q205" s="63">
        <f t="shared" si="9"/>
        <v>1047.8599999999999</v>
      </c>
      <c r="R205" s="63">
        <f t="shared" si="10"/>
        <v>0</v>
      </c>
      <c r="S205" s="63">
        <f t="shared" si="11"/>
        <v>1047.8599999999999</v>
      </c>
    </row>
    <row r="206" spans="1:19" s="77" customFormat="1" ht="12" x14ac:dyDescent="0.2">
      <c r="A206" s="68">
        <v>1082</v>
      </c>
      <c r="B206" s="68" t="s">
        <v>7351</v>
      </c>
      <c r="C206" s="88">
        <v>131</v>
      </c>
      <c r="D206" s="72" t="s">
        <v>7389</v>
      </c>
      <c r="E206" s="157" t="s">
        <v>19</v>
      </c>
      <c r="F206" s="74">
        <v>42872</v>
      </c>
      <c r="G206" s="95">
        <f>141.8</f>
        <v>141.80000000000001</v>
      </c>
      <c r="H206" s="63"/>
      <c r="I206" s="63"/>
      <c r="J206" s="63"/>
      <c r="K206" s="133"/>
      <c r="L206" s="63"/>
      <c r="M206" s="63"/>
      <c r="N206" s="63"/>
      <c r="O206" s="63"/>
      <c r="P206" s="63"/>
      <c r="Q206" s="63">
        <f t="shared" si="9"/>
        <v>141.80000000000001</v>
      </c>
      <c r="R206" s="63">
        <f t="shared" si="10"/>
        <v>0</v>
      </c>
      <c r="S206" s="63">
        <f t="shared" si="11"/>
        <v>141.80000000000001</v>
      </c>
    </row>
    <row r="207" spans="1:19" s="77" customFormat="1" ht="12" x14ac:dyDescent="0.2">
      <c r="A207" s="68">
        <v>9553</v>
      </c>
      <c r="B207" s="68" t="s">
        <v>7352</v>
      </c>
      <c r="C207" s="88">
        <v>132</v>
      </c>
      <c r="D207" s="72" t="s">
        <v>7390</v>
      </c>
      <c r="E207" s="155" t="s">
        <v>7127</v>
      </c>
      <c r="F207" s="74">
        <v>42872</v>
      </c>
      <c r="G207" s="95">
        <f>81+42.5</f>
        <v>123.5</v>
      </c>
      <c r="H207" s="63"/>
      <c r="I207" s="63"/>
      <c r="J207" s="63"/>
      <c r="K207" s="133"/>
      <c r="L207" s="63"/>
      <c r="M207" s="63"/>
      <c r="N207" s="63"/>
      <c r="O207" s="63"/>
      <c r="P207" s="63"/>
      <c r="Q207" s="63">
        <f t="shared" ref="Q207:Q270" si="12">+G207+I207+K207+M207+O207</f>
        <v>123.5</v>
      </c>
      <c r="R207" s="63">
        <f t="shared" ref="R207:R270" si="13">+H207+J207+L207+N207+P207</f>
        <v>0</v>
      </c>
      <c r="S207" s="63">
        <f t="shared" ref="S207:S270" si="14">+Q207+R207</f>
        <v>123.5</v>
      </c>
    </row>
    <row r="208" spans="1:19" s="77" customFormat="1" ht="12" x14ac:dyDescent="0.2">
      <c r="A208" s="68">
        <v>9553</v>
      </c>
      <c r="B208" s="68" t="s">
        <v>7352</v>
      </c>
      <c r="C208" s="88">
        <v>132</v>
      </c>
      <c r="D208" s="72" t="s">
        <v>7391</v>
      </c>
      <c r="E208" s="155" t="s">
        <v>7127</v>
      </c>
      <c r="F208" s="74">
        <v>42872</v>
      </c>
      <c r="G208" s="95">
        <f>66+48</f>
        <v>114</v>
      </c>
      <c r="H208" s="63"/>
      <c r="I208" s="63"/>
      <c r="J208" s="63"/>
      <c r="K208" s="133"/>
      <c r="L208" s="63"/>
      <c r="M208" s="63"/>
      <c r="N208" s="63"/>
      <c r="O208" s="63"/>
      <c r="P208" s="63"/>
      <c r="Q208" s="63">
        <f t="shared" si="12"/>
        <v>114</v>
      </c>
      <c r="R208" s="63">
        <f t="shared" si="13"/>
        <v>0</v>
      </c>
      <c r="S208" s="63">
        <f t="shared" si="14"/>
        <v>114</v>
      </c>
    </row>
    <row r="209" spans="1:19" s="77" customFormat="1" ht="12" x14ac:dyDescent="0.2">
      <c r="A209" s="68">
        <v>9553</v>
      </c>
      <c r="B209" s="68" t="s">
        <v>7352</v>
      </c>
      <c r="C209" s="88">
        <v>132</v>
      </c>
      <c r="D209" s="72" t="s">
        <v>7392</v>
      </c>
      <c r="E209" s="155" t="s">
        <v>7127</v>
      </c>
      <c r="F209" s="74">
        <v>42872</v>
      </c>
      <c r="G209" s="95">
        <f>115</f>
        <v>115</v>
      </c>
      <c r="H209" s="63"/>
      <c r="I209" s="63"/>
      <c r="J209" s="63"/>
      <c r="K209" s="133"/>
      <c r="L209" s="63"/>
      <c r="M209" s="63"/>
      <c r="N209" s="63"/>
      <c r="O209" s="63"/>
      <c r="P209" s="63"/>
      <c r="Q209" s="63">
        <f t="shared" si="12"/>
        <v>115</v>
      </c>
      <c r="R209" s="63">
        <f t="shared" si="13"/>
        <v>0</v>
      </c>
      <c r="S209" s="63">
        <f t="shared" si="14"/>
        <v>115</v>
      </c>
    </row>
    <row r="210" spans="1:19" s="77" customFormat="1" ht="12" x14ac:dyDescent="0.2">
      <c r="A210" s="68">
        <v>10742</v>
      </c>
      <c r="B210" s="68" t="s">
        <v>7353</v>
      </c>
      <c r="C210" s="88">
        <v>133</v>
      </c>
      <c r="D210" s="72" t="s">
        <v>7393</v>
      </c>
      <c r="E210" s="155" t="s">
        <v>7127</v>
      </c>
      <c r="F210" s="74">
        <v>42872</v>
      </c>
      <c r="G210" s="95">
        <f>45+8.5</f>
        <v>53.5</v>
      </c>
      <c r="H210" s="63"/>
      <c r="I210" s="63"/>
      <c r="J210" s="63"/>
      <c r="K210" s="133"/>
      <c r="L210" s="63"/>
      <c r="M210" s="63"/>
      <c r="N210" s="63"/>
      <c r="O210" s="63"/>
      <c r="P210" s="63"/>
      <c r="Q210" s="63">
        <f t="shared" si="12"/>
        <v>53.5</v>
      </c>
      <c r="R210" s="63">
        <f t="shared" si="13"/>
        <v>0</v>
      </c>
      <c r="S210" s="63">
        <f t="shared" si="14"/>
        <v>53.5</v>
      </c>
    </row>
    <row r="211" spans="1:19" s="77" customFormat="1" ht="12" x14ac:dyDescent="0.2">
      <c r="A211" s="68">
        <v>10742</v>
      </c>
      <c r="B211" s="68" t="s">
        <v>7353</v>
      </c>
      <c r="C211" s="88">
        <v>133</v>
      </c>
      <c r="D211" s="72" t="s">
        <v>7394</v>
      </c>
      <c r="E211" s="155" t="s">
        <v>7127</v>
      </c>
      <c r="F211" s="74">
        <v>42872</v>
      </c>
      <c r="G211" s="95">
        <f>124+76.91</f>
        <v>200.91</v>
      </c>
      <c r="H211" s="63"/>
      <c r="I211" s="63"/>
      <c r="J211" s="63"/>
      <c r="K211" s="133"/>
      <c r="L211" s="63"/>
      <c r="M211" s="63"/>
      <c r="N211" s="63"/>
      <c r="O211" s="63"/>
      <c r="P211" s="63"/>
      <c r="Q211" s="63">
        <f t="shared" si="12"/>
        <v>200.91</v>
      </c>
      <c r="R211" s="63">
        <f t="shared" si="13"/>
        <v>0</v>
      </c>
      <c r="S211" s="63">
        <f t="shared" si="14"/>
        <v>200.91</v>
      </c>
    </row>
    <row r="212" spans="1:19" s="77" customFormat="1" ht="12" x14ac:dyDescent="0.2">
      <c r="A212" s="68">
        <v>41418</v>
      </c>
      <c r="B212" s="68" t="s">
        <v>7354</v>
      </c>
      <c r="C212" s="88">
        <v>134</v>
      </c>
      <c r="D212" s="72" t="s">
        <v>7395</v>
      </c>
      <c r="E212" s="155" t="s">
        <v>7127</v>
      </c>
      <c r="F212" s="74">
        <v>42872</v>
      </c>
      <c r="G212" s="95">
        <f>60</f>
        <v>60</v>
      </c>
      <c r="H212" s="63"/>
      <c r="I212" s="63"/>
      <c r="J212" s="63"/>
      <c r="K212" s="133"/>
      <c r="L212" s="63"/>
      <c r="M212" s="63"/>
      <c r="N212" s="63"/>
      <c r="O212" s="63"/>
      <c r="P212" s="63"/>
      <c r="Q212" s="63">
        <f t="shared" si="12"/>
        <v>60</v>
      </c>
      <c r="R212" s="63">
        <f t="shared" si="13"/>
        <v>0</v>
      </c>
      <c r="S212" s="63">
        <f t="shared" si="14"/>
        <v>60</v>
      </c>
    </row>
    <row r="213" spans="1:19" s="77" customFormat="1" ht="12" x14ac:dyDescent="0.2">
      <c r="A213" s="68">
        <v>79611</v>
      </c>
      <c r="B213" s="68" t="s">
        <v>7355</v>
      </c>
      <c r="C213" s="88">
        <v>135</v>
      </c>
      <c r="D213" s="72" t="s">
        <v>7396</v>
      </c>
      <c r="E213" s="155" t="s">
        <v>7127</v>
      </c>
      <c r="F213" s="74">
        <v>42872</v>
      </c>
      <c r="G213" s="95">
        <f>141+68.5</f>
        <v>209.5</v>
      </c>
      <c r="H213" s="63"/>
      <c r="I213" s="63"/>
      <c r="J213" s="63"/>
      <c r="K213" s="133"/>
      <c r="L213" s="63"/>
      <c r="M213" s="63"/>
      <c r="N213" s="63"/>
      <c r="O213" s="63"/>
      <c r="P213" s="63"/>
      <c r="Q213" s="63">
        <f t="shared" si="12"/>
        <v>209.5</v>
      </c>
      <c r="R213" s="63">
        <f t="shared" si="13"/>
        <v>0</v>
      </c>
      <c r="S213" s="63">
        <f t="shared" si="14"/>
        <v>209.5</v>
      </c>
    </row>
    <row r="214" spans="1:19" s="77" customFormat="1" ht="12" x14ac:dyDescent="0.2">
      <c r="A214" s="68">
        <v>1594</v>
      </c>
      <c r="B214" s="68" t="s">
        <v>7356</v>
      </c>
      <c r="C214" s="88">
        <v>136</v>
      </c>
      <c r="D214" s="72" t="s">
        <v>7397</v>
      </c>
      <c r="E214" s="157" t="s">
        <v>19</v>
      </c>
      <c r="F214" s="74">
        <v>42872</v>
      </c>
      <c r="G214" s="95">
        <f>70</f>
        <v>70</v>
      </c>
      <c r="H214" s="63"/>
      <c r="I214" s="63"/>
      <c r="J214" s="63"/>
      <c r="K214" s="133"/>
      <c r="L214" s="63"/>
      <c r="M214" s="63"/>
      <c r="N214" s="63"/>
      <c r="O214" s="63"/>
      <c r="P214" s="63"/>
      <c r="Q214" s="63">
        <f t="shared" si="12"/>
        <v>70</v>
      </c>
      <c r="R214" s="63">
        <f t="shared" si="13"/>
        <v>0</v>
      </c>
      <c r="S214" s="63">
        <f t="shared" si="14"/>
        <v>70</v>
      </c>
    </row>
    <row r="215" spans="1:19" s="77" customFormat="1" ht="12" x14ac:dyDescent="0.2">
      <c r="A215" s="68">
        <v>1594</v>
      </c>
      <c r="B215" s="68" t="s">
        <v>7356</v>
      </c>
      <c r="C215" s="88">
        <v>136</v>
      </c>
      <c r="D215" s="72" t="s">
        <v>7398</v>
      </c>
      <c r="E215" s="157" t="s">
        <v>19</v>
      </c>
      <c r="F215" s="74">
        <v>42872</v>
      </c>
      <c r="G215" s="95">
        <f>94+182.42+41.3</f>
        <v>317.71999999999997</v>
      </c>
      <c r="H215" s="63"/>
      <c r="I215" s="63"/>
      <c r="J215" s="63"/>
      <c r="K215" s="133"/>
      <c r="L215" s="63"/>
      <c r="M215" s="63"/>
      <c r="N215" s="63"/>
      <c r="O215" s="63"/>
      <c r="P215" s="63"/>
      <c r="Q215" s="63">
        <f t="shared" si="12"/>
        <v>317.71999999999997</v>
      </c>
      <c r="R215" s="63">
        <f t="shared" si="13"/>
        <v>0</v>
      </c>
      <c r="S215" s="63">
        <f t="shared" si="14"/>
        <v>317.71999999999997</v>
      </c>
    </row>
    <row r="216" spans="1:19" s="77" customFormat="1" ht="12" x14ac:dyDescent="0.2">
      <c r="A216" s="68">
        <v>145757</v>
      </c>
      <c r="B216" s="68" t="s">
        <v>7357</v>
      </c>
      <c r="C216" s="88">
        <v>137</v>
      </c>
      <c r="D216" s="72" t="s">
        <v>7399</v>
      </c>
      <c r="E216" s="157" t="s">
        <v>19</v>
      </c>
      <c r="F216" s="74">
        <v>42872</v>
      </c>
      <c r="G216" s="95">
        <f>194.6+105+800+130.48+94.38</f>
        <v>1324.46</v>
      </c>
      <c r="H216" s="63"/>
      <c r="I216" s="63">
        <v>736.67</v>
      </c>
      <c r="J216" s="63"/>
      <c r="K216" s="133"/>
      <c r="L216" s="63"/>
      <c r="M216" s="63"/>
      <c r="N216" s="63"/>
      <c r="O216" s="63"/>
      <c r="P216" s="63"/>
      <c r="Q216" s="63">
        <f t="shared" si="12"/>
        <v>2061.13</v>
      </c>
      <c r="R216" s="63">
        <f t="shared" si="13"/>
        <v>0</v>
      </c>
      <c r="S216" s="63">
        <f t="shared" si="14"/>
        <v>2061.13</v>
      </c>
    </row>
    <row r="217" spans="1:19" s="77" customFormat="1" ht="12" x14ac:dyDescent="0.2">
      <c r="A217" s="68">
        <v>144618</v>
      </c>
      <c r="B217" s="68" t="s">
        <v>7358</v>
      </c>
      <c r="C217" s="88">
        <v>138</v>
      </c>
      <c r="D217" s="72" t="s">
        <v>7400</v>
      </c>
      <c r="E217" s="157" t="s">
        <v>19</v>
      </c>
      <c r="F217" s="74">
        <v>42873</v>
      </c>
      <c r="G217" s="95">
        <v>105.2</v>
      </c>
      <c r="H217" s="63"/>
      <c r="I217" s="63"/>
      <c r="J217" s="63"/>
      <c r="K217" s="133"/>
      <c r="L217" s="63"/>
      <c r="M217" s="63"/>
      <c r="N217" s="63"/>
      <c r="O217" s="63"/>
      <c r="P217" s="63"/>
      <c r="Q217" s="63">
        <f t="shared" si="12"/>
        <v>105.2</v>
      </c>
      <c r="R217" s="63">
        <f t="shared" si="13"/>
        <v>0</v>
      </c>
      <c r="S217" s="63">
        <f t="shared" si="14"/>
        <v>105.2</v>
      </c>
    </row>
    <row r="218" spans="1:19" s="77" customFormat="1" ht="12" x14ac:dyDescent="0.2">
      <c r="A218" s="68">
        <v>148668</v>
      </c>
      <c r="B218" s="68" t="s">
        <v>7359</v>
      </c>
      <c r="C218" s="88">
        <v>139</v>
      </c>
      <c r="D218" s="72" t="s">
        <v>7401</v>
      </c>
      <c r="E218" s="157" t="s">
        <v>19</v>
      </c>
      <c r="F218" s="74">
        <v>42874</v>
      </c>
      <c r="G218" s="95">
        <f>361+59+59+1119.12+119.44+74.3+204.46+109.18+109.18+436.21+2361.92+118+101.37</f>
        <v>5232.1799999999994</v>
      </c>
      <c r="H218" s="63"/>
      <c r="I218" s="63">
        <v>850</v>
      </c>
      <c r="J218" s="63"/>
      <c r="K218" s="133"/>
      <c r="L218" s="63"/>
      <c r="M218" s="63"/>
      <c r="N218" s="63"/>
      <c r="O218" s="63"/>
      <c r="P218" s="63"/>
      <c r="Q218" s="63">
        <f t="shared" si="12"/>
        <v>6082.1799999999994</v>
      </c>
      <c r="R218" s="63">
        <f t="shared" si="13"/>
        <v>0</v>
      </c>
      <c r="S218" s="63">
        <f t="shared" si="14"/>
        <v>6082.1799999999994</v>
      </c>
    </row>
    <row r="219" spans="1:19" s="77" customFormat="1" ht="12" x14ac:dyDescent="0.2">
      <c r="A219" s="68">
        <v>143758</v>
      </c>
      <c r="B219" s="68" t="s">
        <v>7360</v>
      </c>
      <c r="C219" s="88">
        <v>140</v>
      </c>
      <c r="D219" s="72" t="s">
        <v>7402</v>
      </c>
      <c r="E219" s="157" t="s">
        <v>19</v>
      </c>
      <c r="F219" s="74">
        <v>42875</v>
      </c>
      <c r="G219" s="95">
        <f>413.74</f>
        <v>413.74</v>
      </c>
      <c r="H219" s="63"/>
      <c r="I219" s="63"/>
      <c r="J219" s="63"/>
      <c r="K219" s="133"/>
      <c r="L219" s="63"/>
      <c r="M219" s="63"/>
      <c r="N219" s="63"/>
      <c r="O219" s="63"/>
      <c r="P219" s="63"/>
      <c r="Q219" s="63">
        <f t="shared" si="12"/>
        <v>413.74</v>
      </c>
      <c r="R219" s="63">
        <f t="shared" si="13"/>
        <v>0</v>
      </c>
      <c r="S219" s="63">
        <f t="shared" si="14"/>
        <v>413.74</v>
      </c>
    </row>
    <row r="220" spans="1:19" s="77" customFormat="1" ht="12" x14ac:dyDescent="0.2">
      <c r="A220" s="68">
        <v>140695</v>
      </c>
      <c r="B220" s="68" t="s">
        <v>7361</v>
      </c>
      <c r="C220" s="88">
        <v>141</v>
      </c>
      <c r="D220" s="72" t="s">
        <v>7403</v>
      </c>
      <c r="E220" s="157" t="s">
        <v>19</v>
      </c>
      <c r="F220" s="74">
        <v>42878</v>
      </c>
      <c r="G220" s="95">
        <f>400+212</f>
        <v>612</v>
      </c>
      <c r="H220" s="63"/>
      <c r="I220" s="63"/>
      <c r="J220" s="63"/>
      <c r="K220" s="133"/>
      <c r="L220" s="63"/>
      <c r="M220" s="63"/>
      <c r="N220" s="63"/>
      <c r="O220" s="63"/>
      <c r="P220" s="63"/>
      <c r="Q220" s="63">
        <f t="shared" si="12"/>
        <v>612</v>
      </c>
      <c r="R220" s="63">
        <f t="shared" si="13"/>
        <v>0</v>
      </c>
      <c r="S220" s="63">
        <f t="shared" si="14"/>
        <v>612</v>
      </c>
    </row>
    <row r="221" spans="1:19" s="77" customFormat="1" ht="12" x14ac:dyDescent="0.2">
      <c r="A221" s="68">
        <v>144078</v>
      </c>
      <c r="B221" s="68" t="s">
        <v>2749</v>
      </c>
      <c r="C221" s="88">
        <v>142</v>
      </c>
      <c r="D221" s="72" t="s">
        <v>7408</v>
      </c>
      <c r="E221" s="157" t="s">
        <v>19</v>
      </c>
      <c r="F221" s="74">
        <v>42881</v>
      </c>
      <c r="G221" s="95">
        <f>1499.97+400+300+650+238+41.3+41.3+536.83+41.3+41.3+103.1+641.9+41.3+310.5+41.3</f>
        <v>4928.1000000000013</v>
      </c>
      <c r="H221" s="63"/>
      <c r="I221" s="63">
        <f>878.33</f>
        <v>878.33</v>
      </c>
      <c r="J221" s="63"/>
      <c r="K221" s="133"/>
      <c r="L221" s="63"/>
      <c r="M221" s="63"/>
      <c r="N221" s="63"/>
      <c r="O221" s="63"/>
      <c r="P221" s="63"/>
      <c r="Q221" s="63">
        <f t="shared" si="12"/>
        <v>5806.4300000000012</v>
      </c>
      <c r="R221" s="63">
        <f t="shared" si="13"/>
        <v>0</v>
      </c>
      <c r="S221" s="63">
        <f t="shared" si="14"/>
        <v>5806.4300000000012</v>
      </c>
    </row>
    <row r="222" spans="1:19" s="77" customFormat="1" ht="12" x14ac:dyDescent="0.2">
      <c r="A222" s="68">
        <v>142051</v>
      </c>
      <c r="B222" s="68" t="s">
        <v>5105</v>
      </c>
      <c r="C222" s="88">
        <v>143</v>
      </c>
      <c r="D222" s="72" t="s">
        <v>7409</v>
      </c>
      <c r="E222" s="157" t="s">
        <v>19</v>
      </c>
      <c r="F222" s="74">
        <v>42882</v>
      </c>
      <c r="G222" s="95">
        <f>41.3+86.83+131.57+41.3+310.64+41.3+70+666.2+41.3+457.93</f>
        <v>1888.37</v>
      </c>
      <c r="H222" s="63"/>
      <c r="I222" s="63">
        <f>850+850</f>
        <v>1700</v>
      </c>
      <c r="J222" s="63"/>
      <c r="K222" s="133"/>
      <c r="L222" s="63"/>
      <c r="M222" s="63"/>
      <c r="N222" s="63"/>
      <c r="O222" s="63"/>
      <c r="P222" s="63"/>
      <c r="Q222" s="63">
        <f t="shared" si="12"/>
        <v>3588.37</v>
      </c>
      <c r="R222" s="63">
        <f t="shared" si="13"/>
        <v>0</v>
      </c>
      <c r="S222" s="63">
        <f t="shared" si="14"/>
        <v>3588.37</v>
      </c>
    </row>
    <row r="223" spans="1:19" s="77" customFormat="1" ht="12" x14ac:dyDescent="0.2">
      <c r="A223" s="68">
        <v>5686</v>
      </c>
      <c r="B223" s="68" t="s">
        <v>7405</v>
      </c>
      <c r="C223" s="88">
        <v>144</v>
      </c>
      <c r="D223" s="72" t="s">
        <v>7410</v>
      </c>
      <c r="E223" s="157" t="s">
        <v>19</v>
      </c>
      <c r="F223" s="74">
        <v>42883</v>
      </c>
      <c r="G223" s="95">
        <f>700+300+245.2+71.85+204+3393.45+238+4653.14+160.83+240+41.3+41.3+41.3+309.4+370+65.99+41.3+98.86+41.3+459.7</f>
        <v>11716.919999999996</v>
      </c>
      <c r="H223" s="63"/>
      <c r="I223" s="63">
        <f>850+850+1700+650</f>
        <v>4050</v>
      </c>
      <c r="J223" s="63"/>
      <c r="K223" s="133"/>
      <c r="L223" s="63"/>
      <c r="M223" s="63"/>
      <c r="N223" s="63"/>
      <c r="O223" s="63"/>
      <c r="P223" s="63"/>
      <c r="Q223" s="63">
        <f t="shared" si="12"/>
        <v>15766.919999999996</v>
      </c>
      <c r="R223" s="63">
        <f t="shared" si="13"/>
        <v>0</v>
      </c>
      <c r="S223" s="63">
        <f t="shared" si="14"/>
        <v>15766.919999999996</v>
      </c>
    </row>
    <row r="224" spans="1:19" s="77" customFormat="1" ht="12" x14ac:dyDescent="0.2">
      <c r="A224" s="68">
        <v>147329</v>
      </c>
      <c r="B224" s="68" t="s">
        <v>7406</v>
      </c>
      <c r="C224" s="88">
        <v>145</v>
      </c>
      <c r="D224" s="72" t="s">
        <v>7411</v>
      </c>
      <c r="E224" s="157" t="s">
        <v>19</v>
      </c>
      <c r="F224" s="74">
        <v>42884</v>
      </c>
      <c r="G224" s="95">
        <f>82.01+279.37+290+125</f>
        <v>776.38</v>
      </c>
      <c r="H224" s="63"/>
      <c r="I224" s="63"/>
      <c r="J224" s="63"/>
      <c r="K224" s="133"/>
      <c r="L224" s="63"/>
      <c r="M224" s="63"/>
      <c r="N224" s="63"/>
      <c r="O224" s="63"/>
      <c r="P224" s="63"/>
      <c r="Q224" s="63">
        <f t="shared" si="12"/>
        <v>776.38</v>
      </c>
      <c r="R224" s="63">
        <f t="shared" si="13"/>
        <v>0</v>
      </c>
      <c r="S224" s="63">
        <f t="shared" si="14"/>
        <v>776.38</v>
      </c>
    </row>
    <row r="225" spans="1:19" s="77" customFormat="1" ht="12" x14ac:dyDescent="0.2">
      <c r="A225" s="68">
        <v>148001</v>
      </c>
      <c r="B225" s="68" t="s">
        <v>7407</v>
      </c>
      <c r="C225" s="88">
        <v>146</v>
      </c>
      <c r="D225" s="72" t="s">
        <v>7412</v>
      </c>
      <c r="E225" s="155" t="s">
        <v>7413</v>
      </c>
      <c r="F225" s="74">
        <v>42884</v>
      </c>
      <c r="G225" s="95">
        <f>400+115.98+175.6+194.7+500+98.03</f>
        <v>1484.31</v>
      </c>
      <c r="H225" s="63"/>
      <c r="I225" s="63">
        <f>1700</f>
        <v>1700</v>
      </c>
      <c r="J225" s="63"/>
      <c r="K225" s="133"/>
      <c r="L225" s="63"/>
      <c r="M225" s="63"/>
      <c r="N225" s="63"/>
      <c r="O225" s="63"/>
      <c r="P225" s="63"/>
      <c r="Q225" s="63">
        <f t="shared" si="12"/>
        <v>3184.31</v>
      </c>
      <c r="R225" s="63">
        <f t="shared" si="13"/>
        <v>0</v>
      </c>
      <c r="S225" s="63">
        <f t="shared" si="14"/>
        <v>3184.31</v>
      </c>
    </row>
    <row r="226" spans="1:19" s="77" customFormat="1" ht="12" x14ac:dyDescent="0.2">
      <c r="A226" s="68">
        <v>142079</v>
      </c>
      <c r="B226" s="68" t="s">
        <v>7414</v>
      </c>
      <c r="C226" s="88">
        <v>147</v>
      </c>
      <c r="D226" s="72" t="s">
        <v>7443</v>
      </c>
      <c r="E226" s="157" t="s">
        <v>19</v>
      </c>
      <c r="F226" s="74">
        <v>42888</v>
      </c>
      <c r="G226" s="95">
        <f>333.89+306.47+341.37+41.3</f>
        <v>1023.03</v>
      </c>
      <c r="H226" s="63"/>
      <c r="I226" s="63">
        <v>170</v>
      </c>
      <c r="J226" s="63"/>
      <c r="K226" s="133"/>
      <c r="L226" s="63"/>
      <c r="M226" s="63"/>
      <c r="N226" s="63"/>
      <c r="O226" s="63"/>
      <c r="P226" s="63"/>
      <c r="Q226" s="63">
        <f t="shared" si="12"/>
        <v>1193.03</v>
      </c>
      <c r="R226" s="63">
        <f t="shared" si="13"/>
        <v>0</v>
      </c>
      <c r="S226" s="63">
        <f t="shared" si="14"/>
        <v>1193.03</v>
      </c>
    </row>
    <row r="227" spans="1:19" s="77" customFormat="1" ht="12" x14ac:dyDescent="0.2">
      <c r="A227" s="68">
        <v>142079</v>
      </c>
      <c r="B227" s="68" t="s">
        <v>7414</v>
      </c>
      <c r="C227" s="88">
        <v>147</v>
      </c>
      <c r="D227" s="72" t="s">
        <v>7444</v>
      </c>
      <c r="E227" s="155" t="s">
        <v>19</v>
      </c>
      <c r="F227" s="74">
        <v>42888</v>
      </c>
      <c r="G227" s="95">
        <v>253.82</v>
      </c>
      <c r="H227" s="63"/>
      <c r="I227" s="63"/>
      <c r="J227" s="63"/>
      <c r="K227" s="133"/>
      <c r="L227" s="63"/>
      <c r="M227" s="63"/>
      <c r="N227" s="63"/>
      <c r="O227" s="63"/>
      <c r="P227" s="63"/>
      <c r="Q227" s="63">
        <f t="shared" si="12"/>
        <v>253.82</v>
      </c>
      <c r="R227" s="63">
        <f t="shared" si="13"/>
        <v>0</v>
      </c>
      <c r="S227" s="63">
        <f t="shared" si="14"/>
        <v>253.82</v>
      </c>
    </row>
    <row r="228" spans="1:19" s="77" customFormat="1" ht="12" x14ac:dyDescent="0.2">
      <c r="A228" s="68">
        <v>142079</v>
      </c>
      <c r="B228" s="68" t="s">
        <v>7414</v>
      </c>
      <c r="C228" s="88">
        <v>147</v>
      </c>
      <c r="D228" s="72" t="s">
        <v>7445</v>
      </c>
      <c r="E228" s="155" t="s">
        <v>19</v>
      </c>
      <c r="F228" s="74">
        <v>42888</v>
      </c>
      <c r="G228" s="95">
        <v>148.80000000000001</v>
      </c>
      <c r="H228" s="63"/>
      <c r="I228" s="63"/>
      <c r="J228" s="63"/>
      <c r="K228" s="133"/>
      <c r="L228" s="63"/>
      <c r="M228" s="63"/>
      <c r="N228" s="63"/>
      <c r="O228" s="63"/>
      <c r="P228" s="63"/>
      <c r="Q228" s="63">
        <f t="shared" si="12"/>
        <v>148.80000000000001</v>
      </c>
      <c r="R228" s="63">
        <f t="shared" si="13"/>
        <v>0</v>
      </c>
      <c r="S228" s="63">
        <f t="shared" si="14"/>
        <v>148.80000000000001</v>
      </c>
    </row>
    <row r="229" spans="1:19" s="77" customFormat="1" ht="12" x14ac:dyDescent="0.2">
      <c r="A229" s="68">
        <v>142079</v>
      </c>
      <c r="B229" s="68" t="s">
        <v>7414</v>
      </c>
      <c r="C229" s="88">
        <v>147</v>
      </c>
      <c r="D229" s="72" t="s">
        <v>7446</v>
      </c>
      <c r="E229" s="155" t="s">
        <v>19</v>
      </c>
      <c r="F229" s="74">
        <v>42888</v>
      </c>
      <c r="G229" s="95">
        <f>41.3+41.3+41.3+8.26+59.6+290+133.99</f>
        <v>615.75</v>
      </c>
      <c r="H229" s="63"/>
      <c r="I229" s="63">
        <f>821.67</f>
        <v>821.67</v>
      </c>
      <c r="J229" s="63"/>
      <c r="K229" s="133"/>
      <c r="L229" s="63"/>
      <c r="M229" s="63"/>
      <c r="N229" s="63"/>
      <c r="O229" s="63"/>
      <c r="P229" s="63"/>
      <c r="Q229" s="63">
        <f t="shared" si="12"/>
        <v>1437.42</v>
      </c>
      <c r="R229" s="63">
        <f t="shared" si="13"/>
        <v>0</v>
      </c>
      <c r="S229" s="63">
        <f t="shared" si="14"/>
        <v>1437.42</v>
      </c>
    </row>
    <row r="230" spans="1:19" s="77" customFormat="1" ht="12" x14ac:dyDescent="0.2">
      <c r="A230" s="68">
        <v>142079</v>
      </c>
      <c r="B230" s="68" t="s">
        <v>7414</v>
      </c>
      <c r="C230" s="88">
        <v>147</v>
      </c>
      <c r="D230" s="72" t="s">
        <v>7447</v>
      </c>
      <c r="E230" s="155" t="s">
        <v>19</v>
      </c>
      <c r="F230" s="74">
        <v>42888</v>
      </c>
      <c r="G230" s="95">
        <f>401.55</f>
        <v>401.55</v>
      </c>
      <c r="H230" s="63"/>
      <c r="I230" s="63">
        <f>283.33</f>
        <v>283.33</v>
      </c>
      <c r="J230" s="63"/>
      <c r="K230" s="133"/>
      <c r="L230" s="63"/>
      <c r="M230" s="63"/>
      <c r="N230" s="63"/>
      <c r="O230" s="63"/>
      <c r="P230" s="63"/>
      <c r="Q230" s="63">
        <f t="shared" si="12"/>
        <v>684.88</v>
      </c>
      <c r="R230" s="63">
        <f t="shared" si="13"/>
        <v>0</v>
      </c>
      <c r="S230" s="63">
        <f t="shared" si="14"/>
        <v>684.88</v>
      </c>
    </row>
    <row r="231" spans="1:19" s="77" customFormat="1" ht="12" x14ac:dyDescent="0.2">
      <c r="A231" s="68">
        <v>142079</v>
      </c>
      <c r="B231" s="68" t="s">
        <v>7414</v>
      </c>
      <c r="C231" s="88">
        <v>147</v>
      </c>
      <c r="D231" s="72" t="s">
        <v>7448</v>
      </c>
      <c r="E231" s="155" t="s">
        <v>19</v>
      </c>
      <c r="F231" s="74">
        <v>42888</v>
      </c>
      <c r="G231" s="95">
        <f>272.75+41.3+294.45+41.3+281.14+209.93+457.9+41.3+41.3+353.75</f>
        <v>2035.12</v>
      </c>
      <c r="H231" s="63"/>
      <c r="I231" s="63">
        <f>850+291.26+850+850</f>
        <v>2841.26</v>
      </c>
      <c r="J231" s="63"/>
      <c r="K231" s="133"/>
      <c r="L231" s="63"/>
      <c r="M231" s="63"/>
      <c r="N231" s="63"/>
      <c r="O231" s="63"/>
      <c r="P231" s="63"/>
      <c r="Q231" s="63">
        <f t="shared" si="12"/>
        <v>4876.38</v>
      </c>
      <c r="R231" s="63">
        <f t="shared" si="13"/>
        <v>0</v>
      </c>
      <c r="S231" s="63">
        <f t="shared" si="14"/>
        <v>4876.38</v>
      </c>
    </row>
    <row r="232" spans="1:19" s="77" customFormat="1" ht="12" x14ac:dyDescent="0.2">
      <c r="A232" s="68">
        <v>142079</v>
      </c>
      <c r="B232" s="68" t="s">
        <v>7414</v>
      </c>
      <c r="C232" s="88">
        <v>147</v>
      </c>
      <c r="D232" s="72" t="s">
        <v>7449</v>
      </c>
      <c r="E232" s="155" t="s">
        <v>19</v>
      </c>
      <c r="F232" s="74">
        <v>42888</v>
      </c>
      <c r="G232" s="95">
        <f>139.92+41.3+422.87+415.83+41.3</f>
        <v>1061.2199999999998</v>
      </c>
      <c r="H232" s="63"/>
      <c r="I232" s="63">
        <f>850+1700</f>
        <v>2550</v>
      </c>
      <c r="J232" s="63"/>
      <c r="K232" s="133"/>
      <c r="L232" s="63"/>
      <c r="M232" s="63"/>
      <c r="N232" s="63"/>
      <c r="O232" s="63"/>
      <c r="P232" s="63"/>
      <c r="Q232" s="63">
        <f t="shared" si="12"/>
        <v>3611.22</v>
      </c>
      <c r="R232" s="63">
        <f t="shared" si="13"/>
        <v>0</v>
      </c>
      <c r="S232" s="63">
        <f t="shared" si="14"/>
        <v>3611.22</v>
      </c>
    </row>
    <row r="233" spans="1:19" s="77" customFormat="1" ht="12" x14ac:dyDescent="0.2">
      <c r="A233" s="68">
        <v>142079</v>
      </c>
      <c r="B233" s="68" t="s">
        <v>7414</v>
      </c>
      <c r="C233" s="88">
        <v>147</v>
      </c>
      <c r="D233" s="72" t="s">
        <v>7450</v>
      </c>
      <c r="E233" s="155" t="s">
        <v>19</v>
      </c>
      <c r="F233" s="74">
        <v>42888</v>
      </c>
      <c r="G233" s="95">
        <v>244.79</v>
      </c>
      <c r="H233" s="63"/>
      <c r="I233" s="63"/>
      <c r="J233" s="63"/>
      <c r="K233" s="133"/>
      <c r="L233" s="63"/>
      <c r="M233" s="63"/>
      <c r="N233" s="63"/>
      <c r="O233" s="63"/>
      <c r="P233" s="63"/>
      <c r="Q233" s="63">
        <f t="shared" si="12"/>
        <v>244.79</v>
      </c>
      <c r="R233" s="63">
        <f t="shared" si="13"/>
        <v>0</v>
      </c>
      <c r="S233" s="63">
        <f t="shared" si="14"/>
        <v>244.79</v>
      </c>
    </row>
    <row r="234" spans="1:19" s="77" customFormat="1" ht="12" x14ac:dyDescent="0.2">
      <c r="A234" s="68">
        <v>142079</v>
      </c>
      <c r="B234" s="68" t="s">
        <v>7414</v>
      </c>
      <c r="C234" s="88">
        <v>147</v>
      </c>
      <c r="D234" s="72" t="s">
        <v>7451</v>
      </c>
      <c r="E234" s="155" t="s">
        <v>19</v>
      </c>
      <c r="F234" s="74">
        <v>42888</v>
      </c>
      <c r="G234" s="95">
        <f>151.64+86+41.3+284.79</f>
        <v>563.73</v>
      </c>
      <c r="H234" s="63"/>
      <c r="I234" s="63">
        <v>170</v>
      </c>
      <c r="J234" s="63"/>
      <c r="K234" s="133"/>
      <c r="L234" s="63"/>
      <c r="M234" s="63"/>
      <c r="N234" s="63"/>
      <c r="O234" s="63"/>
      <c r="P234" s="63"/>
      <c r="Q234" s="63">
        <f t="shared" si="12"/>
        <v>733.73</v>
      </c>
      <c r="R234" s="63">
        <f t="shared" si="13"/>
        <v>0</v>
      </c>
      <c r="S234" s="63">
        <f t="shared" si="14"/>
        <v>733.73</v>
      </c>
    </row>
    <row r="235" spans="1:19" s="77" customFormat="1" ht="12" x14ac:dyDescent="0.2">
      <c r="A235" s="68">
        <v>142079</v>
      </c>
      <c r="B235" s="68" t="s">
        <v>7414</v>
      </c>
      <c r="C235" s="88">
        <v>147</v>
      </c>
      <c r="D235" s="72" t="s">
        <v>7452</v>
      </c>
      <c r="E235" s="155" t="s">
        <v>19</v>
      </c>
      <c r="F235" s="74">
        <v>42888</v>
      </c>
      <c r="G235" s="95">
        <v>88.5</v>
      </c>
      <c r="H235" s="63"/>
      <c r="I235" s="63"/>
      <c r="J235" s="63"/>
      <c r="K235" s="133"/>
      <c r="L235" s="63"/>
      <c r="M235" s="63"/>
      <c r="N235" s="63"/>
      <c r="O235" s="63"/>
      <c r="P235" s="63"/>
      <c r="Q235" s="63">
        <f t="shared" si="12"/>
        <v>88.5</v>
      </c>
      <c r="R235" s="63">
        <f t="shared" si="13"/>
        <v>0</v>
      </c>
      <c r="S235" s="63">
        <f t="shared" si="14"/>
        <v>88.5</v>
      </c>
    </row>
    <row r="236" spans="1:19" s="77" customFormat="1" ht="12" x14ac:dyDescent="0.2">
      <c r="A236" s="68">
        <v>142079</v>
      </c>
      <c r="B236" s="68" t="s">
        <v>7414</v>
      </c>
      <c r="C236" s="88">
        <v>147</v>
      </c>
      <c r="D236" s="72" t="s">
        <v>7453</v>
      </c>
      <c r="E236" s="155" t="s">
        <v>19</v>
      </c>
      <c r="F236" s="74">
        <v>42888</v>
      </c>
      <c r="G236" s="95">
        <v>494.89</v>
      </c>
      <c r="H236" s="63"/>
      <c r="I236" s="63"/>
      <c r="J236" s="63"/>
      <c r="K236" s="133"/>
      <c r="L236" s="63"/>
      <c r="M236" s="63"/>
      <c r="N236" s="63"/>
      <c r="O236" s="63"/>
      <c r="P236" s="63"/>
      <c r="Q236" s="63">
        <f t="shared" si="12"/>
        <v>494.89</v>
      </c>
      <c r="R236" s="63">
        <f t="shared" si="13"/>
        <v>0</v>
      </c>
      <c r="S236" s="63">
        <f t="shared" si="14"/>
        <v>494.89</v>
      </c>
    </row>
    <row r="237" spans="1:19" s="77" customFormat="1" ht="12" x14ac:dyDescent="0.2">
      <c r="A237" s="68">
        <v>142079</v>
      </c>
      <c r="B237" s="68" t="s">
        <v>7414</v>
      </c>
      <c r="C237" s="88">
        <v>147</v>
      </c>
      <c r="D237" s="72" t="s">
        <v>7454</v>
      </c>
      <c r="E237" s="155" t="s">
        <v>19</v>
      </c>
      <c r="F237" s="74">
        <v>42888</v>
      </c>
      <c r="G237" s="95">
        <v>163.49</v>
      </c>
      <c r="H237" s="63"/>
      <c r="I237" s="63"/>
      <c r="J237" s="63"/>
      <c r="K237" s="133"/>
      <c r="L237" s="63"/>
      <c r="M237" s="63"/>
      <c r="N237" s="63"/>
      <c r="O237" s="63"/>
      <c r="P237" s="63"/>
      <c r="Q237" s="63">
        <f t="shared" si="12"/>
        <v>163.49</v>
      </c>
      <c r="R237" s="63">
        <f t="shared" si="13"/>
        <v>0</v>
      </c>
      <c r="S237" s="63">
        <f t="shared" si="14"/>
        <v>163.49</v>
      </c>
    </row>
    <row r="238" spans="1:19" s="77" customFormat="1" ht="12" x14ac:dyDescent="0.2">
      <c r="A238" s="68">
        <v>142079</v>
      </c>
      <c r="B238" s="68" t="s">
        <v>7414</v>
      </c>
      <c r="C238" s="88">
        <v>147</v>
      </c>
      <c r="D238" s="72" t="s">
        <v>7455</v>
      </c>
      <c r="E238" s="155" t="s">
        <v>19</v>
      </c>
      <c r="F238" s="74">
        <v>42888</v>
      </c>
      <c r="G238" s="95">
        <f>103+168.7+268.21+278.22+59.52+275.94</f>
        <v>1153.5899999999999</v>
      </c>
      <c r="H238" s="63"/>
      <c r="I238" s="63">
        <f>906.67</f>
        <v>906.67</v>
      </c>
      <c r="J238" s="63"/>
      <c r="K238" s="133"/>
      <c r="L238" s="63"/>
      <c r="M238" s="63"/>
      <c r="N238" s="63"/>
      <c r="O238" s="63"/>
      <c r="P238" s="63"/>
      <c r="Q238" s="63">
        <f t="shared" si="12"/>
        <v>2060.2599999999998</v>
      </c>
      <c r="R238" s="63">
        <f t="shared" si="13"/>
        <v>0</v>
      </c>
      <c r="S238" s="63">
        <f t="shared" si="14"/>
        <v>2060.2599999999998</v>
      </c>
    </row>
    <row r="239" spans="1:19" s="77" customFormat="1" ht="12" x14ac:dyDescent="0.2">
      <c r="A239" s="68">
        <v>144313</v>
      </c>
      <c r="B239" s="68" t="s">
        <v>7415</v>
      </c>
      <c r="C239" s="88">
        <v>148</v>
      </c>
      <c r="D239" s="72" t="s">
        <v>7456</v>
      </c>
      <c r="E239" s="155" t="s">
        <v>19</v>
      </c>
      <c r="F239" s="74">
        <v>42889</v>
      </c>
      <c r="G239" s="95">
        <v>1379.61</v>
      </c>
      <c r="H239" s="63"/>
      <c r="I239" s="63"/>
      <c r="J239" s="63"/>
      <c r="K239" s="133"/>
      <c r="L239" s="63"/>
      <c r="M239" s="63"/>
      <c r="N239" s="63"/>
      <c r="O239" s="63"/>
      <c r="P239" s="63"/>
      <c r="Q239" s="63">
        <f t="shared" si="12"/>
        <v>1379.61</v>
      </c>
      <c r="R239" s="63">
        <f t="shared" si="13"/>
        <v>0</v>
      </c>
      <c r="S239" s="63">
        <f t="shared" si="14"/>
        <v>1379.61</v>
      </c>
    </row>
    <row r="240" spans="1:19" s="77" customFormat="1" ht="12" x14ac:dyDescent="0.2">
      <c r="A240" s="68">
        <v>148186</v>
      </c>
      <c r="B240" s="68" t="s">
        <v>7416</v>
      </c>
      <c r="C240" s="88">
        <v>149</v>
      </c>
      <c r="D240" s="72" t="s">
        <v>7457</v>
      </c>
      <c r="E240" s="155" t="s">
        <v>19</v>
      </c>
      <c r="F240" s="74">
        <v>42889</v>
      </c>
      <c r="G240" s="95">
        <v>174.52</v>
      </c>
      <c r="H240" s="63"/>
      <c r="I240" s="63"/>
      <c r="J240" s="63"/>
      <c r="K240" s="133"/>
      <c r="L240" s="63"/>
      <c r="M240" s="63"/>
      <c r="N240" s="63"/>
      <c r="O240" s="63"/>
      <c r="P240" s="63"/>
      <c r="Q240" s="63">
        <f t="shared" si="12"/>
        <v>174.52</v>
      </c>
      <c r="R240" s="63">
        <f t="shared" si="13"/>
        <v>0</v>
      </c>
      <c r="S240" s="63">
        <f t="shared" si="14"/>
        <v>174.52</v>
      </c>
    </row>
    <row r="241" spans="1:19" s="77" customFormat="1" ht="12" x14ac:dyDescent="0.2">
      <c r="A241" s="68">
        <v>282</v>
      </c>
      <c r="B241" s="68" t="s">
        <v>7417</v>
      </c>
      <c r="C241" s="88">
        <v>150</v>
      </c>
      <c r="D241" s="72" t="s">
        <v>7458</v>
      </c>
      <c r="E241" s="155" t="s">
        <v>19</v>
      </c>
      <c r="F241" s="74">
        <v>42889</v>
      </c>
      <c r="G241" s="95">
        <v>136.36000000000001</v>
      </c>
      <c r="H241" s="63"/>
      <c r="I241" s="63"/>
      <c r="J241" s="63"/>
      <c r="K241" s="133"/>
      <c r="L241" s="63"/>
      <c r="M241" s="63"/>
      <c r="N241" s="63"/>
      <c r="O241" s="63"/>
      <c r="P241" s="63"/>
      <c r="Q241" s="63">
        <f t="shared" si="12"/>
        <v>136.36000000000001</v>
      </c>
      <c r="R241" s="63">
        <f t="shared" si="13"/>
        <v>0</v>
      </c>
      <c r="S241" s="63">
        <f t="shared" si="14"/>
        <v>136.36000000000001</v>
      </c>
    </row>
    <row r="242" spans="1:19" s="77" customFormat="1" ht="12" x14ac:dyDescent="0.2">
      <c r="A242" s="68">
        <v>282</v>
      </c>
      <c r="B242" s="68" t="s">
        <v>7417</v>
      </c>
      <c r="C242" s="88">
        <v>150</v>
      </c>
      <c r="D242" s="72" t="s">
        <v>7459</v>
      </c>
      <c r="E242" s="155" t="s">
        <v>19</v>
      </c>
      <c r="F242" s="74">
        <v>42889</v>
      </c>
      <c r="G242" s="95">
        <v>151.06</v>
      </c>
      <c r="H242" s="63"/>
      <c r="I242" s="63"/>
      <c r="J242" s="63"/>
      <c r="K242" s="133"/>
      <c r="L242" s="63"/>
      <c r="M242" s="63"/>
      <c r="N242" s="63"/>
      <c r="O242" s="63"/>
      <c r="P242" s="63"/>
      <c r="Q242" s="63">
        <f t="shared" si="12"/>
        <v>151.06</v>
      </c>
      <c r="R242" s="63">
        <f t="shared" si="13"/>
        <v>0</v>
      </c>
      <c r="S242" s="63">
        <f t="shared" si="14"/>
        <v>151.06</v>
      </c>
    </row>
    <row r="243" spans="1:19" s="77" customFormat="1" ht="12" x14ac:dyDescent="0.2">
      <c r="A243" s="68">
        <v>282</v>
      </c>
      <c r="B243" s="68" t="s">
        <v>7417</v>
      </c>
      <c r="C243" s="88">
        <v>150</v>
      </c>
      <c r="D243" s="72" t="s">
        <v>7460</v>
      </c>
      <c r="E243" s="155" t="s">
        <v>19</v>
      </c>
      <c r="F243" s="74">
        <v>42889</v>
      </c>
      <c r="G243" s="95">
        <v>72.91</v>
      </c>
      <c r="H243" s="63"/>
      <c r="I243" s="63"/>
      <c r="J243" s="63"/>
      <c r="K243" s="133"/>
      <c r="L243" s="63"/>
      <c r="M243" s="63"/>
      <c r="N243" s="63"/>
      <c r="O243" s="63"/>
      <c r="P243" s="63"/>
      <c r="Q243" s="63">
        <f t="shared" si="12"/>
        <v>72.91</v>
      </c>
      <c r="R243" s="63">
        <f t="shared" si="13"/>
        <v>0</v>
      </c>
      <c r="S243" s="63">
        <f t="shared" si="14"/>
        <v>72.91</v>
      </c>
    </row>
    <row r="244" spans="1:19" s="77" customFormat="1" ht="12" x14ac:dyDescent="0.2">
      <c r="A244" s="68">
        <v>5806</v>
      </c>
      <c r="B244" s="68" t="s">
        <v>7418</v>
      </c>
      <c r="C244" s="88">
        <v>151</v>
      </c>
      <c r="D244" s="72" t="s">
        <v>7461</v>
      </c>
      <c r="E244" s="155" t="s">
        <v>19</v>
      </c>
      <c r="F244" s="74">
        <v>42891</v>
      </c>
      <c r="G244" s="95">
        <v>180.03</v>
      </c>
      <c r="H244" s="63"/>
      <c r="I244" s="63"/>
      <c r="J244" s="63"/>
      <c r="K244" s="133"/>
      <c r="L244" s="63"/>
      <c r="M244" s="63"/>
      <c r="N244" s="63"/>
      <c r="O244" s="63"/>
      <c r="P244" s="63"/>
      <c r="Q244" s="63">
        <f t="shared" si="12"/>
        <v>180.03</v>
      </c>
      <c r="R244" s="63">
        <f t="shared" si="13"/>
        <v>0</v>
      </c>
      <c r="S244" s="63">
        <f t="shared" si="14"/>
        <v>180.03</v>
      </c>
    </row>
    <row r="245" spans="1:19" s="77" customFormat="1" ht="12" x14ac:dyDescent="0.2">
      <c r="A245" s="68">
        <v>5806</v>
      </c>
      <c r="B245" s="68" t="s">
        <v>7418</v>
      </c>
      <c r="C245" s="88">
        <v>151</v>
      </c>
      <c r="D245" s="72" t="s">
        <v>7462</v>
      </c>
      <c r="E245" s="155" t="s">
        <v>19</v>
      </c>
      <c r="F245" s="74">
        <v>42891</v>
      </c>
      <c r="G245" s="95">
        <v>144.55000000000001</v>
      </c>
      <c r="H245" s="63"/>
      <c r="I245" s="63"/>
      <c r="J245" s="63"/>
      <c r="K245" s="133"/>
      <c r="L245" s="63"/>
      <c r="M245" s="63"/>
      <c r="N245" s="63"/>
      <c r="O245" s="63"/>
      <c r="P245" s="63"/>
      <c r="Q245" s="63">
        <f t="shared" si="12"/>
        <v>144.55000000000001</v>
      </c>
      <c r="R245" s="63">
        <f t="shared" si="13"/>
        <v>0</v>
      </c>
      <c r="S245" s="63">
        <f t="shared" si="14"/>
        <v>144.55000000000001</v>
      </c>
    </row>
    <row r="246" spans="1:19" s="77" customFormat="1" ht="12" x14ac:dyDescent="0.2">
      <c r="A246" s="68">
        <v>142729</v>
      </c>
      <c r="B246" s="68" t="s">
        <v>7419</v>
      </c>
      <c r="C246" s="88">
        <v>152</v>
      </c>
      <c r="D246" s="72" t="s">
        <v>7463</v>
      </c>
      <c r="E246" s="155" t="s">
        <v>19</v>
      </c>
      <c r="F246" s="74">
        <v>42892</v>
      </c>
      <c r="G246" s="95">
        <f>69.51+41.3+82.53+280.93+560.2+349.56+126.05+155.62+86+300+184.48+180.22+166.57</f>
        <v>2582.9699999999998</v>
      </c>
      <c r="H246" s="63"/>
      <c r="I246" s="63">
        <f>283.33</f>
        <v>283.33</v>
      </c>
      <c r="J246" s="63"/>
      <c r="K246" s="133"/>
      <c r="L246" s="63"/>
      <c r="M246" s="63"/>
      <c r="N246" s="63"/>
      <c r="O246" s="63"/>
      <c r="P246" s="63"/>
      <c r="Q246" s="63">
        <f t="shared" si="12"/>
        <v>2866.2999999999997</v>
      </c>
      <c r="R246" s="63">
        <f t="shared" si="13"/>
        <v>0</v>
      </c>
      <c r="S246" s="63">
        <f t="shared" si="14"/>
        <v>2866.2999999999997</v>
      </c>
    </row>
    <row r="247" spans="1:19" s="77" customFormat="1" ht="12" x14ac:dyDescent="0.2">
      <c r="A247" s="68">
        <v>143566</v>
      </c>
      <c r="B247" s="68" t="s">
        <v>5769</v>
      </c>
      <c r="C247" s="88">
        <v>153</v>
      </c>
      <c r="D247" s="72" t="s">
        <v>7464</v>
      </c>
      <c r="E247" s="155" t="s">
        <v>19</v>
      </c>
      <c r="F247" s="74">
        <v>42892</v>
      </c>
      <c r="G247" s="95">
        <v>172.6</v>
      </c>
      <c r="H247" s="63"/>
      <c r="I247" s="63"/>
      <c r="J247" s="63"/>
      <c r="K247" s="133"/>
      <c r="L247" s="63"/>
      <c r="M247" s="63"/>
      <c r="N247" s="63"/>
      <c r="O247" s="63"/>
      <c r="P247" s="63"/>
      <c r="Q247" s="63">
        <f t="shared" si="12"/>
        <v>172.6</v>
      </c>
      <c r="R247" s="63">
        <f t="shared" si="13"/>
        <v>0</v>
      </c>
      <c r="S247" s="63">
        <f t="shared" si="14"/>
        <v>172.6</v>
      </c>
    </row>
    <row r="248" spans="1:19" s="77" customFormat="1" ht="12" x14ac:dyDescent="0.2">
      <c r="A248" s="68">
        <v>143566</v>
      </c>
      <c r="B248" s="68" t="s">
        <v>5769</v>
      </c>
      <c r="C248" s="88">
        <v>153</v>
      </c>
      <c r="D248" s="72" t="s">
        <v>7465</v>
      </c>
      <c r="E248" s="155" t="s">
        <v>19</v>
      </c>
      <c r="F248" s="74">
        <v>42892</v>
      </c>
      <c r="G248" s="95">
        <v>94.3</v>
      </c>
      <c r="H248" s="63"/>
      <c r="I248" s="63"/>
      <c r="J248" s="63"/>
      <c r="K248" s="133"/>
      <c r="L248" s="63"/>
      <c r="M248" s="63"/>
      <c r="N248" s="63"/>
      <c r="O248" s="63"/>
      <c r="P248" s="63"/>
      <c r="Q248" s="63">
        <f t="shared" si="12"/>
        <v>94.3</v>
      </c>
      <c r="R248" s="63">
        <f t="shared" si="13"/>
        <v>0</v>
      </c>
      <c r="S248" s="63">
        <f t="shared" si="14"/>
        <v>94.3</v>
      </c>
    </row>
    <row r="249" spans="1:19" s="77" customFormat="1" ht="12" x14ac:dyDescent="0.2">
      <c r="A249" s="68">
        <v>147917</v>
      </c>
      <c r="B249" s="68" t="s">
        <v>4382</v>
      </c>
      <c r="C249" s="88">
        <v>154</v>
      </c>
      <c r="D249" s="72" t="s">
        <v>7466</v>
      </c>
      <c r="E249" s="155" t="s">
        <v>19</v>
      </c>
      <c r="F249" s="74">
        <v>42893</v>
      </c>
      <c r="G249" s="95">
        <f>78.5</f>
        <v>78.5</v>
      </c>
      <c r="H249" s="63"/>
      <c r="I249" s="63"/>
      <c r="J249" s="63"/>
      <c r="K249" s="133"/>
      <c r="L249" s="63"/>
      <c r="M249" s="63"/>
      <c r="N249" s="63"/>
      <c r="O249" s="63"/>
      <c r="P249" s="63"/>
      <c r="Q249" s="63">
        <f t="shared" si="12"/>
        <v>78.5</v>
      </c>
      <c r="R249" s="63">
        <f t="shared" si="13"/>
        <v>0</v>
      </c>
      <c r="S249" s="63">
        <f t="shared" si="14"/>
        <v>78.5</v>
      </c>
    </row>
    <row r="250" spans="1:19" s="77" customFormat="1" ht="12" x14ac:dyDescent="0.2">
      <c r="A250" s="68">
        <v>5289</v>
      </c>
      <c r="B250" s="68" t="s">
        <v>7420</v>
      </c>
      <c r="C250" s="88">
        <v>155</v>
      </c>
      <c r="D250" s="72" t="s">
        <v>7467</v>
      </c>
      <c r="E250" s="155" t="s">
        <v>19</v>
      </c>
      <c r="F250" s="74">
        <v>42896</v>
      </c>
      <c r="G250" s="95">
        <v>108.99</v>
      </c>
      <c r="H250" s="63"/>
      <c r="I250" s="63"/>
      <c r="J250" s="63"/>
      <c r="K250" s="133"/>
      <c r="L250" s="63"/>
      <c r="M250" s="63"/>
      <c r="N250" s="63"/>
      <c r="O250" s="63"/>
      <c r="P250" s="63"/>
      <c r="Q250" s="63">
        <f t="shared" si="12"/>
        <v>108.99</v>
      </c>
      <c r="R250" s="63">
        <f t="shared" si="13"/>
        <v>0</v>
      </c>
      <c r="S250" s="63">
        <f t="shared" si="14"/>
        <v>108.99</v>
      </c>
    </row>
    <row r="251" spans="1:19" s="77" customFormat="1" ht="12" x14ac:dyDescent="0.2">
      <c r="A251" s="68">
        <v>147244</v>
      </c>
      <c r="B251" s="68" t="s">
        <v>7421</v>
      </c>
      <c r="C251" s="88">
        <v>156</v>
      </c>
      <c r="D251" s="72" t="s">
        <v>7468</v>
      </c>
      <c r="E251" s="155" t="s">
        <v>19</v>
      </c>
      <c r="F251" s="74">
        <v>42897</v>
      </c>
      <c r="G251" s="95">
        <v>84.64</v>
      </c>
      <c r="H251" s="63"/>
      <c r="I251" s="63"/>
      <c r="J251" s="63"/>
      <c r="K251" s="133"/>
      <c r="L251" s="63"/>
      <c r="M251" s="63"/>
      <c r="N251" s="63"/>
      <c r="O251" s="63"/>
      <c r="P251" s="63"/>
      <c r="Q251" s="63">
        <f t="shared" si="12"/>
        <v>84.64</v>
      </c>
      <c r="R251" s="63">
        <f t="shared" si="13"/>
        <v>0</v>
      </c>
      <c r="S251" s="63">
        <f t="shared" si="14"/>
        <v>84.64</v>
      </c>
    </row>
    <row r="252" spans="1:19" s="77" customFormat="1" ht="12" x14ac:dyDescent="0.2">
      <c r="A252" s="68">
        <v>577</v>
      </c>
      <c r="B252" s="68" t="s">
        <v>7422</v>
      </c>
      <c r="C252" s="88">
        <v>157</v>
      </c>
      <c r="D252" s="72" t="s">
        <v>7469</v>
      </c>
      <c r="E252" s="155" t="s">
        <v>19</v>
      </c>
      <c r="F252" s="74">
        <v>42898</v>
      </c>
      <c r="G252" s="95">
        <f>78.5+189.99+41.3+32.4</f>
        <v>342.19</v>
      </c>
      <c r="H252" s="63"/>
      <c r="I252" s="63"/>
      <c r="J252" s="63"/>
      <c r="K252" s="133"/>
      <c r="L252" s="63"/>
      <c r="M252" s="63"/>
      <c r="N252" s="63"/>
      <c r="O252" s="63"/>
      <c r="P252" s="63"/>
      <c r="Q252" s="63">
        <f t="shared" si="12"/>
        <v>342.19</v>
      </c>
      <c r="R252" s="63">
        <f t="shared" si="13"/>
        <v>0</v>
      </c>
      <c r="S252" s="63">
        <f t="shared" si="14"/>
        <v>342.19</v>
      </c>
    </row>
    <row r="253" spans="1:19" s="77" customFormat="1" ht="12" x14ac:dyDescent="0.2">
      <c r="A253" s="68">
        <v>2565</v>
      </c>
      <c r="B253" s="68" t="s">
        <v>7423</v>
      </c>
      <c r="C253" s="88">
        <v>158</v>
      </c>
      <c r="D253" s="72" t="s">
        <v>7470</v>
      </c>
      <c r="E253" s="155" t="s">
        <v>19</v>
      </c>
      <c r="F253" s="74">
        <v>42898</v>
      </c>
      <c r="G253" s="95">
        <f>135.28</f>
        <v>135.28</v>
      </c>
      <c r="H253" s="63"/>
      <c r="I253" s="63"/>
      <c r="J253" s="63"/>
      <c r="K253" s="133"/>
      <c r="L253" s="63"/>
      <c r="M253" s="63"/>
      <c r="N253" s="63"/>
      <c r="O253" s="63"/>
      <c r="P253" s="63"/>
      <c r="Q253" s="63">
        <f t="shared" si="12"/>
        <v>135.28</v>
      </c>
      <c r="R253" s="63">
        <f t="shared" si="13"/>
        <v>0</v>
      </c>
      <c r="S253" s="63">
        <f t="shared" si="14"/>
        <v>135.28</v>
      </c>
    </row>
    <row r="254" spans="1:19" s="77" customFormat="1" ht="12" x14ac:dyDescent="0.2">
      <c r="A254" s="68">
        <v>145155</v>
      </c>
      <c r="B254" s="68" t="s">
        <v>7424</v>
      </c>
      <c r="C254" s="88">
        <v>159</v>
      </c>
      <c r="D254" s="72" t="s">
        <v>7471</v>
      </c>
      <c r="E254" s="155" t="s">
        <v>19</v>
      </c>
      <c r="F254" s="74">
        <v>42900</v>
      </c>
      <c r="G254" s="95">
        <v>402.56</v>
      </c>
      <c r="H254" s="63"/>
      <c r="I254" s="63"/>
      <c r="J254" s="63"/>
      <c r="K254" s="133"/>
      <c r="L254" s="63"/>
      <c r="M254" s="63"/>
      <c r="N254" s="63"/>
      <c r="O254" s="63"/>
      <c r="P254" s="63"/>
      <c r="Q254" s="63">
        <f t="shared" si="12"/>
        <v>402.56</v>
      </c>
      <c r="R254" s="63">
        <f t="shared" si="13"/>
        <v>0</v>
      </c>
      <c r="S254" s="63">
        <f t="shared" si="14"/>
        <v>402.56</v>
      </c>
    </row>
    <row r="255" spans="1:19" s="77" customFormat="1" ht="12" x14ac:dyDescent="0.2">
      <c r="A255" s="68">
        <v>145155</v>
      </c>
      <c r="B255" s="68" t="s">
        <v>7424</v>
      </c>
      <c r="C255" s="88">
        <v>159</v>
      </c>
      <c r="D255" s="72" t="s">
        <v>7472</v>
      </c>
      <c r="E255" s="155" t="s">
        <v>19</v>
      </c>
      <c r="F255" s="74">
        <v>42900</v>
      </c>
      <c r="G255" s="95">
        <v>118.44</v>
      </c>
      <c r="H255" s="63"/>
      <c r="I255" s="63"/>
      <c r="J255" s="63"/>
      <c r="K255" s="133"/>
      <c r="L255" s="63"/>
      <c r="M255" s="63"/>
      <c r="N255" s="63"/>
      <c r="O255" s="63"/>
      <c r="P255" s="63"/>
      <c r="Q255" s="63">
        <f t="shared" si="12"/>
        <v>118.44</v>
      </c>
      <c r="R255" s="63">
        <f t="shared" si="13"/>
        <v>0</v>
      </c>
      <c r="S255" s="63">
        <f t="shared" si="14"/>
        <v>118.44</v>
      </c>
    </row>
    <row r="256" spans="1:19" s="77" customFormat="1" ht="12" x14ac:dyDescent="0.2">
      <c r="A256" s="68">
        <v>145155</v>
      </c>
      <c r="B256" s="68" t="s">
        <v>7424</v>
      </c>
      <c r="C256" s="88">
        <v>159</v>
      </c>
      <c r="D256" s="72" t="s">
        <v>7473</v>
      </c>
      <c r="E256" s="155" t="s">
        <v>19</v>
      </c>
      <c r="F256" s="74">
        <v>42900</v>
      </c>
      <c r="G256" s="95">
        <v>118.44</v>
      </c>
      <c r="H256" s="63"/>
      <c r="I256" s="63"/>
      <c r="J256" s="63"/>
      <c r="K256" s="133"/>
      <c r="L256" s="63"/>
      <c r="M256" s="63"/>
      <c r="N256" s="63"/>
      <c r="O256" s="63"/>
      <c r="P256" s="63"/>
      <c r="Q256" s="63">
        <f t="shared" si="12"/>
        <v>118.44</v>
      </c>
      <c r="R256" s="63">
        <f t="shared" si="13"/>
        <v>0</v>
      </c>
      <c r="S256" s="63">
        <f t="shared" si="14"/>
        <v>118.44</v>
      </c>
    </row>
    <row r="257" spans="1:19" s="77" customFormat="1" ht="12" x14ac:dyDescent="0.2">
      <c r="A257" s="68">
        <v>3824</v>
      </c>
      <c r="B257" s="68" t="s">
        <v>7425</v>
      </c>
      <c r="C257" s="88">
        <v>160</v>
      </c>
      <c r="D257" s="72" t="s">
        <v>7474</v>
      </c>
      <c r="E257" s="155" t="s">
        <v>19</v>
      </c>
      <c r="F257" s="74">
        <v>42900</v>
      </c>
      <c r="G257" s="95">
        <f>106.3+143.91+41.3+147.05+227.01+279.17+41.3+697.16+69.51+143.91+172.12</f>
        <v>2068.7399999999998</v>
      </c>
      <c r="H257" s="63"/>
      <c r="I257" s="63">
        <f>850</f>
        <v>850</v>
      </c>
      <c r="J257" s="63"/>
      <c r="K257" s="133"/>
      <c r="L257" s="63"/>
      <c r="M257" s="63"/>
      <c r="N257" s="63"/>
      <c r="O257" s="63"/>
      <c r="P257" s="63"/>
      <c r="Q257" s="63">
        <f t="shared" si="12"/>
        <v>2918.74</v>
      </c>
      <c r="R257" s="63">
        <f t="shared" si="13"/>
        <v>0</v>
      </c>
      <c r="S257" s="63">
        <f t="shared" si="14"/>
        <v>2918.74</v>
      </c>
    </row>
    <row r="258" spans="1:19" s="77" customFormat="1" ht="12" x14ac:dyDescent="0.2">
      <c r="A258" s="68">
        <v>143304</v>
      </c>
      <c r="B258" s="68" t="s">
        <v>7426</v>
      </c>
      <c r="C258" s="88">
        <v>161</v>
      </c>
      <c r="D258" s="72" t="s">
        <v>7475</v>
      </c>
      <c r="E258" s="155" t="s">
        <v>19</v>
      </c>
      <c r="F258" s="74">
        <v>42901</v>
      </c>
      <c r="G258" s="95">
        <v>40</v>
      </c>
      <c r="H258" s="63"/>
      <c r="I258" s="63"/>
      <c r="J258" s="63"/>
      <c r="K258" s="133"/>
      <c r="L258" s="63"/>
      <c r="M258" s="63"/>
      <c r="N258" s="63"/>
      <c r="O258" s="63"/>
      <c r="P258" s="63"/>
      <c r="Q258" s="63">
        <f t="shared" si="12"/>
        <v>40</v>
      </c>
      <c r="R258" s="63">
        <f t="shared" si="13"/>
        <v>0</v>
      </c>
      <c r="S258" s="63">
        <f t="shared" si="14"/>
        <v>40</v>
      </c>
    </row>
    <row r="259" spans="1:19" s="77" customFormat="1" ht="12" x14ac:dyDescent="0.2">
      <c r="A259" s="68">
        <v>143304</v>
      </c>
      <c r="B259" s="68" t="s">
        <v>7426</v>
      </c>
      <c r="C259" s="88">
        <v>161</v>
      </c>
      <c r="D259" s="72" t="s">
        <v>7476</v>
      </c>
      <c r="E259" s="155" t="s">
        <v>19</v>
      </c>
      <c r="F259" s="74">
        <v>42901</v>
      </c>
      <c r="G259" s="95">
        <v>40</v>
      </c>
      <c r="H259" s="63"/>
      <c r="I259" s="63"/>
      <c r="J259" s="63"/>
      <c r="K259" s="133"/>
      <c r="L259" s="63"/>
      <c r="M259" s="63"/>
      <c r="N259" s="63"/>
      <c r="O259" s="63"/>
      <c r="P259" s="63"/>
      <c r="Q259" s="63">
        <f t="shared" si="12"/>
        <v>40</v>
      </c>
      <c r="R259" s="63">
        <f t="shared" si="13"/>
        <v>0</v>
      </c>
      <c r="S259" s="63">
        <f t="shared" si="14"/>
        <v>40</v>
      </c>
    </row>
    <row r="260" spans="1:19" s="77" customFormat="1" ht="12" x14ac:dyDescent="0.2">
      <c r="A260" s="68">
        <v>143304</v>
      </c>
      <c r="B260" s="68" t="s">
        <v>7426</v>
      </c>
      <c r="C260" s="88">
        <v>161</v>
      </c>
      <c r="D260" s="72" t="s">
        <v>7477</v>
      </c>
      <c r="E260" s="155" t="s">
        <v>19</v>
      </c>
      <c r="F260" s="74">
        <v>42901</v>
      </c>
      <c r="G260" s="95">
        <v>40</v>
      </c>
      <c r="H260" s="63"/>
      <c r="I260" s="63"/>
      <c r="J260" s="63"/>
      <c r="K260" s="133"/>
      <c r="L260" s="63"/>
      <c r="M260" s="63"/>
      <c r="N260" s="63"/>
      <c r="O260" s="63"/>
      <c r="P260" s="63"/>
      <c r="Q260" s="63">
        <f t="shared" si="12"/>
        <v>40</v>
      </c>
      <c r="R260" s="63">
        <f t="shared" si="13"/>
        <v>0</v>
      </c>
      <c r="S260" s="63">
        <f t="shared" si="14"/>
        <v>40</v>
      </c>
    </row>
    <row r="261" spans="1:19" s="77" customFormat="1" ht="12" x14ac:dyDescent="0.2">
      <c r="A261" s="68">
        <v>143304</v>
      </c>
      <c r="B261" s="68" t="s">
        <v>7427</v>
      </c>
      <c r="C261" s="88">
        <v>161</v>
      </c>
      <c r="D261" s="72" t="s">
        <v>7478</v>
      </c>
      <c r="E261" s="155" t="s">
        <v>19</v>
      </c>
      <c r="F261" s="74">
        <v>42901</v>
      </c>
      <c r="G261" s="95">
        <v>43.04</v>
      </c>
      <c r="H261" s="63"/>
      <c r="I261" s="63"/>
      <c r="J261" s="63"/>
      <c r="K261" s="133"/>
      <c r="L261" s="63"/>
      <c r="M261" s="63"/>
      <c r="N261" s="63"/>
      <c r="O261" s="63"/>
      <c r="P261" s="63"/>
      <c r="Q261" s="63">
        <f t="shared" si="12"/>
        <v>43.04</v>
      </c>
      <c r="R261" s="63">
        <f t="shared" si="13"/>
        <v>0</v>
      </c>
      <c r="S261" s="63">
        <f t="shared" si="14"/>
        <v>43.04</v>
      </c>
    </row>
    <row r="262" spans="1:19" s="77" customFormat="1" ht="12" x14ac:dyDescent="0.2">
      <c r="A262" s="68">
        <v>1959</v>
      </c>
      <c r="B262" s="68" t="s">
        <v>7428</v>
      </c>
      <c r="C262" s="88">
        <v>162</v>
      </c>
      <c r="D262" s="72" t="s">
        <v>7479</v>
      </c>
      <c r="E262" s="155" t="s">
        <v>19</v>
      </c>
      <c r="F262" s="74">
        <v>42902</v>
      </c>
      <c r="G262" s="95">
        <v>182.5</v>
      </c>
      <c r="H262" s="63"/>
      <c r="I262" s="63"/>
      <c r="J262" s="63"/>
      <c r="K262" s="133"/>
      <c r="L262" s="63"/>
      <c r="M262" s="63"/>
      <c r="N262" s="63"/>
      <c r="O262" s="63"/>
      <c r="P262" s="63"/>
      <c r="Q262" s="63">
        <f t="shared" si="12"/>
        <v>182.5</v>
      </c>
      <c r="R262" s="63">
        <f t="shared" si="13"/>
        <v>0</v>
      </c>
      <c r="S262" s="63">
        <f t="shared" si="14"/>
        <v>182.5</v>
      </c>
    </row>
    <row r="263" spans="1:19" s="77" customFormat="1" ht="12" x14ac:dyDescent="0.2">
      <c r="A263" s="68">
        <v>1959</v>
      </c>
      <c r="B263" s="68" t="s">
        <v>7428</v>
      </c>
      <c r="C263" s="88">
        <v>162</v>
      </c>
      <c r="D263" s="72" t="s">
        <v>7480</v>
      </c>
      <c r="E263" s="155" t="s">
        <v>19</v>
      </c>
      <c r="F263" s="74">
        <v>42902</v>
      </c>
      <c r="G263" s="95">
        <v>132.5</v>
      </c>
      <c r="H263" s="63"/>
      <c r="I263" s="63"/>
      <c r="J263" s="63"/>
      <c r="K263" s="133"/>
      <c r="L263" s="63"/>
      <c r="M263" s="63"/>
      <c r="N263" s="63"/>
      <c r="O263" s="63"/>
      <c r="P263" s="63"/>
      <c r="Q263" s="63">
        <f t="shared" si="12"/>
        <v>132.5</v>
      </c>
      <c r="R263" s="63">
        <f t="shared" si="13"/>
        <v>0</v>
      </c>
      <c r="S263" s="63">
        <f t="shared" si="14"/>
        <v>132.5</v>
      </c>
    </row>
    <row r="264" spans="1:19" s="77" customFormat="1" ht="12" x14ac:dyDescent="0.2">
      <c r="A264" s="68">
        <v>1959</v>
      </c>
      <c r="B264" s="68" t="s">
        <v>7428</v>
      </c>
      <c r="C264" s="88">
        <v>162</v>
      </c>
      <c r="D264" s="72" t="s">
        <v>7481</v>
      </c>
      <c r="E264" s="155" t="s">
        <v>19</v>
      </c>
      <c r="F264" s="74">
        <v>42902</v>
      </c>
      <c r="G264" s="95">
        <v>116.99</v>
      </c>
      <c r="H264" s="63"/>
      <c r="I264" s="63"/>
      <c r="J264" s="63"/>
      <c r="K264" s="133"/>
      <c r="L264" s="63"/>
      <c r="M264" s="63"/>
      <c r="N264" s="63"/>
      <c r="O264" s="63"/>
      <c r="P264" s="63"/>
      <c r="Q264" s="63">
        <f t="shared" si="12"/>
        <v>116.99</v>
      </c>
      <c r="R264" s="63">
        <f t="shared" si="13"/>
        <v>0</v>
      </c>
      <c r="S264" s="63">
        <f t="shared" si="14"/>
        <v>116.99</v>
      </c>
    </row>
    <row r="265" spans="1:19" s="77" customFormat="1" ht="12" x14ac:dyDescent="0.2">
      <c r="A265" s="68">
        <v>136780</v>
      </c>
      <c r="B265" s="68" t="s">
        <v>7429</v>
      </c>
      <c r="C265" s="88">
        <v>163</v>
      </c>
      <c r="D265" s="72" t="s">
        <v>7482</v>
      </c>
      <c r="E265" s="155" t="s">
        <v>19</v>
      </c>
      <c r="F265" s="74">
        <v>42903</v>
      </c>
      <c r="G265" s="95">
        <v>147.5</v>
      </c>
      <c r="H265" s="63"/>
      <c r="I265" s="63"/>
      <c r="J265" s="63"/>
      <c r="K265" s="133"/>
      <c r="L265" s="63"/>
      <c r="M265" s="63"/>
      <c r="N265" s="63"/>
      <c r="O265" s="63"/>
      <c r="P265" s="63"/>
      <c r="Q265" s="63">
        <f t="shared" si="12"/>
        <v>147.5</v>
      </c>
      <c r="R265" s="63">
        <f t="shared" si="13"/>
        <v>0</v>
      </c>
      <c r="S265" s="63">
        <f t="shared" si="14"/>
        <v>147.5</v>
      </c>
    </row>
    <row r="266" spans="1:19" s="77" customFormat="1" ht="12" x14ac:dyDescent="0.2">
      <c r="A266" s="68">
        <v>2361</v>
      </c>
      <c r="B266" s="68" t="s">
        <v>7430</v>
      </c>
      <c r="C266" s="88">
        <v>164</v>
      </c>
      <c r="D266" s="72" t="s">
        <v>7483</v>
      </c>
      <c r="E266" s="155" t="s">
        <v>19</v>
      </c>
      <c r="F266" s="74">
        <v>42905</v>
      </c>
      <c r="G266" s="95">
        <v>118.89</v>
      </c>
      <c r="H266" s="63"/>
      <c r="I266" s="63"/>
      <c r="J266" s="63"/>
      <c r="K266" s="133"/>
      <c r="L266" s="63"/>
      <c r="M266" s="63"/>
      <c r="N266" s="63"/>
      <c r="O266" s="63"/>
      <c r="P266" s="63"/>
      <c r="Q266" s="63">
        <f t="shared" si="12"/>
        <v>118.89</v>
      </c>
      <c r="R266" s="63">
        <f t="shared" si="13"/>
        <v>0</v>
      </c>
      <c r="S266" s="63">
        <f t="shared" si="14"/>
        <v>118.89</v>
      </c>
    </row>
    <row r="267" spans="1:19" s="77" customFormat="1" ht="12" x14ac:dyDescent="0.2">
      <c r="A267" s="68">
        <v>148503</v>
      </c>
      <c r="B267" s="68" t="s">
        <v>7431</v>
      </c>
      <c r="C267" s="88">
        <v>165</v>
      </c>
      <c r="D267" s="72" t="s">
        <v>7484</v>
      </c>
      <c r="E267" s="155" t="s">
        <v>19</v>
      </c>
      <c r="F267" s="74">
        <v>42905</v>
      </c>
      <c r="G267" s="95">
        <f>95.27+439.06</f>
        <v>534.33000000000004</v>
      </c>
      <c r="H267" s="63"/>
      <c r="I267" s="63">
        <v>1700</v>
      </c>
      <c r="J267" s="63"/>
      <c r="K267" s="133"/>
      <c r="L267" s="63"/>
      <c r="M267" s="63"/>
      <c r="N267" s="63"/>
      <c r="O267" s="63"/>
      <c r="P267" s="63"/>
      <c r="Q267" s="63">
        <f t="shared" si="12"/>
        <v>2234.33</v>
      </c>
      <c r="R267" s="63">
        <f t="shared" si="13"/>
        <v>0</v>
      </c>
      <c r="S267" s="63">
        <f t="shared" si="14"/>
        <v>2234.33</v>
      </c>
    </row>
    <row r="268" spans="1:19" s="77" customFormat="1" ht="12" x14ac:dyDescent="0.2">
      <c r="A268" s="68">
        <v>786</v>
      </c>
      <c r="B268" s="68" t="s">
        <v>7432</v>
      </c>
      <c r="C268" s="88">
        <v>166</v>
      </c>
      <c r="D268" s="72" t="s">
        <v>7485</v>
      </c>
      <c r="E268" s="155" t="s">
        <v>19</v>
      </c>
      <c r="F268" s="74">
        <v>42905</v>
      </c>
      <c r="G268" s="95">
        <v>98</v>
      </c>
      <c r="H268" s="63"/>
      <c r="I268" s="63"/>
      <c r="J268" s="63"/>
      <c r="K268" s="133"/>
      <c r="L268" s="63"/>
      <c r="M268" s="63"/>
      <c r="N268" s="63"/>
      <c r="O268" s="63"/>
      <c r="P268" s="63"/>
      <c r="Q268" s="63">
        <f t="shared" si="12"/>
        <v>98</v>
      </c>
      <c r="R268" s="63">
        <f t="shared" si="13"/>
        <v>0</v>
      </c>
      <c r="S268" s="63">
        <f t="shared" si="14"/>
        <v>98</v>
      </c>
    </row>
    <row r="269" spans="1:19" s="77" customFormat="1" ht="12" x14ac:dyDescent="0.2">
      <c r="A269" s="68">
        <v>146643</v>
      </c>
      <c r="B269" s="68" t="s">
        <v>7433</v>
      </c>
      <c r="C269" s="88">
        <v>167</v>
      </c>
      <c r="D269" s="72" t="s">
        <v>7486</v>
      </c>
      <c r="E269" s="155" t="s">
        <v>19</v>
      </c>
      <c r="F269" s="74">
        <v>42905</v>
      </c>
      <c r="G269" s="95">
        <f>189.27</f>
        <v>189.27</v>
      </c>
      <c r="H269" s="63"/>
      <c r="I269" s="63"/>
      <c r="J269" s="63"/>
      <c r="K269" s="133"/>
      <c r="L269" s="63"/>
      <c r="M269" s="63"/>
      <c r="N269" s="63"/>
      <c r="O269" s="63"/>
      <c r="P269" s="63"/>
      <c r="Q269" s="63">
        <f t="shared" si="12"/>
        <v>189.27</v>
      </c>
      <c r="R269" s="63">
        <f t="shared" si="13"/>
        <v>0</v>
      </c>
      <c r="S269" s="63">
        <f t="shared" si="14"/>
        <v>189.27</v>
      </c>
    </row>
    <row r="270" spans="1:19" s="77" customFormat="1" ht="12" x14ac:dyDescent="0.2">
      <c r="A270" s="68">
        <v>7228</v>
      </c>
      <c r="B270" s="68" t="s">
        <v>7434</v>
      </c>
      <c r="C270" s="88">
        <v>168</v>
      </c>
      <c r="D270" s="72" t="s">
        <v>7496</v>
      </c>
      <c r="E270" s="155" t="s">
        <v>19</v>
      </c>
      <c r="F270" s="74">
        <v>42908</v>
      </c>
      <c r="G270" s="95"/>
      <c r="H270" s="63"/>
      <c r="I270" s="63"/>
      <c r="J270" s="63"/>
      <c r="K270" s="133"/>
      <c r="L270" s="63"/>
      <c r="M270" s="63"/>
      <c r="N270" s="63"/>
      <c r="O270" s="63"/>
      <c r="P270" s="63"/>
      <c r="Q270" s="63">
        <f t="shared" si="12"/>
        <v>0</v>
      </c>
      <c r="R270" s="63">
        <f t="shared" si="13"/>
        <v>0</v>
      </c>
      <c r="S270" s="63">
        <f t="shared" si="14"/>
        <v>0</v>
      </c>
    </row>
    <row r="271" spans="1:19" s="77" customFormat="1" ht="12" x14ac:dyDescent="0.2">
      <c r="A271" s="68">
        <v>2364</v>
      </c>
      <c r="B271" s="68" t="s">
        <v>7435</v>
      </c>
      <c r="C271" s="88">
        <v>169</v>
      </c>
      <c r="D271" s="72" t="s">
        <v>7487</v>
      </c>
      <c r="E271" s="155" t="s">
        <v>19</v>
      </c>
      <c r="F271" s="74">
        <v>42908</v>
      </c>
      <c r="G271" s="95">
        <v>105.5</v>
      </c>
      <c r="H271" s="63"/>
      <c r="I271" s="63"/>
      <c r="J271" s="63"/>
      <c r="K271" s="133"/>
      <c r="L271" s="63"/>
      <c r="M271" s="63"/>
      <c r="N271" s="63"/>
      <c r="O271" s="63"/>
      <c r="P271" s="63"/>
      <c r="Q271" s="63">
        <f t="shared" ref="Q271:Q334" si="15">+G271+I271+K271+M271+O271</f>
        <v>105.5</v>
      </c>
      <c r="R271" s="63">
        <f t="shared" ref="R271:R334" si="16">+H271+J271+L271+N271+P271</f>
        <v>0</v>
      </c>
      <c r="S271" s="63">
        <f t="shared" ref="S271:S334" si="17">+Q271+R271</f>
        <v>105.5</v>
      </c>
    </row>
    <row r="272" spans="1:19" s="77" customFormat="1" ht="12" x14ac:dyDescent="0.2">
      <c r="A272" s="68">
        <v>2364</v>
      </c>
      <c r="B272" s="68" t="s">
        <v>7435</v>
      </c>
      <c r="C272" s="88">
        <v>169</v>
      </c>
      <c r="D272" s="72" t="s">
        <v>7488</v>
      </c>
      <c r="E272" s="155" t="s">
        <v>19</v>
      </c>
      <c r="F272" s="74">
        <v>42908</v>
      </c>
      <c r="G272" s="95">
        <v>137</v>
      </c>
      <c r="H272" s="63"/>
      <c r="I272" s="63"/>
      <c r="J272" s="63"/>
      <c r="K272" s="133"/>
      <c r="L272" s="63"/>
      <c r="M272" s="63"/>
      <c r="N272" s="63"/>
      <c r="O272" s="63"/>
      <c r="P272" s="63"/>
      <c r="Q272" s="63">
        <f t="shared" si="15"/>
        <v>137</v>
      </c>
      <c r="R272" s="63">
        <f t="shared" si="16"/>
        <v>0</v>
      </c>
      <c r="S272" s="63">
        <f t="shared" si="17"/>
        <v>137</v>
      </c>
    </row>
    <row r="273" spans="1:19" s="77" customFormat="1" ht="12" x14ac:dyDescent="0.2">
      <c r="A273" s="68">
        <v>92</v>
      </c>
      <c r="B273" s="68" t="s">
        <v>7436</v>
      </c>
      <c r="C273" s="88">
        <v>170</v>
      </c>
      <c r="D273" s="72" t="s">
        <v>7489</v>
      </c>
      <c r="E273" s="155" t="s">
        <v>19</v>
      </c>
      <c r="F273" s="74">
        <v>42909</v>
      </c>
      <c r="G273" s="95">
        <f>296.9+144.36+638+95.1+36.08+40.87+70</f>
        <v>1321.3099999999997</v>
      </c>
      <c r="H273" s="63"/>
      <c r="I273" s="63">
        <f>529.37</f>
        <v>529.37</v>
      </c>
      <c r="J273" s="63"/>
      <c r="K273" s="133"/>
      <c r="L273" s="63"/>
      <c r="M273" s="63"/>
      <c r="N273" s="63"/>
      <c r="O273" s="63"/>
      <c r="P273" s="63"/>
      <c r="Q273" s="63">
        <f t="shared" si="15"/>
        <v>1850.6799999999998</v>
      </c>
      <c r="R273" s="63">
        <f t="shared" si="16"/>
        <v>0</v>
      </c>
      <c r="S273" s="63">
        <f t="shared" si="17"/>
        <v>1850.6799999999998</v>
      </c>
    </row>
    <row r="274" spans="1:19" s="77" customFormat="1" ht="12" x14ac:dyDescent="0.2">
      <c r="A274" s="68">
        <v>148820</v>
      </c>
      <c r="B274" s="68" t="s">
        <v>7437</v>
      </c>
      <c r="C274" s="88">
        <v>171</v>
      </c>
      <c r="D274" s="72" t="s">
        <v>7490</v>
      </c>
      <c r="E274" s="155" t="s">
        <v>19</v>
      </c>
      <c r="F274" s="74">
        <v>42910</v>
      </c>
      <c r="G274" s="95">
        <f>117.74+247.48+152.04</f>
        <v>517.26</v>
      </c>
      <c r="H274" s="63"/>
      <c r="I274" s="63"/>
      <c r="J274" s="63"/>
      <c r="K274" s="133"/>
      <c r="L274" s="63"/>
      <c r="M274" s="63"/>
      <c r="N274" s="63"/>
      <c r="O274" s="63"/>
      <c r="P274" s="63"/>
      <c r="Q274" s="63">
        <f t="shared" si="15"/>
        <v>517.26</v>
      </c>
      <c r="R274" s="63">
        <f t="shared" si="16"/>
        <v>0</v>
      </c>
      <c r="S274" s="63">
        <f t="shared" si="17"/>
        <v>517.26</v>
      </c>
    </row>
    <row r="275" spans="1:19" s="77" customFormat="1" ht="12" x14ac:dyDescent="0.2">
      <c r="A275" s="68">
        <v>141830</v>
      </c>
      <c r="B275" s="68" t="s">
        <v>7442</v>
      </c>
      <c r="C275" s="88">
        <v>172</v>
      </c>
      <c r="D275" s="72" t="s">
        <v>7491</v>
      </c>
      <c r="E275" s="155" t="s">
        <v>19</v>
      </c>
      <c r="F275" s="74">
        <v>42910</v>
      </c>
      <c r="G275" s="95">
        <f>2260.13</f>
        <v>2260.13</v>
      </c>
      <c r="H275" s="63"/>
      <c r="I275" s="63"/>
      <c r="J275" s="63"/>
      <c r="K275" s="133"/>
      <c r="L275" s="63"/>
      <c r="M275" s="63"/>
      <c r="N275" s="63"/>
      <c r="O275" s="63"/>
      <c r="P275" s="63"/>
      <c r="Q275" s="63">
        <f t="shared" si="15"/>
        <v>2260.13</v>
      </c>
      <c r="R275" s="63">
        <f t="shared" si="16"/>
        <v>0</v>
      </c>
      <c r="S275" s="63">
        <f t="shared" si="17"/>
        <v>2260.13</v>
      </c>
    </row>
    <row r="276" spans="1:19" s="77" customFormat="1" ht="12" x14ac:dyDescent="0.2">
      <c r="A276" s="68">
        <v>147120</v>
      </c>
      <c r="B276" s="68" t="s">
        <v>7438</v>
      </c>
      <c r="C276" s="88">
        <v>173</v>
      </c>
      <c r="D276" s="72" t="s">
        <v>7492</v>
      </c>
      <c r="E276" s="155" t="s">
        <v>19</v>
      </c>
      <c r="F276" s="74">
        <v>42910</v>
      </c>
      <c r="G276" s="95">
        <v>273.23</v>
      </c>
      <c r="H276" s="63"/>
      <c r="I276" s="63"/>
      <c r="J276" s="63"/>
      <c r="K276" s="133"/>
      <c r="L276" s="63"/>
      <c r="M276" s="63"/>
      <c r="N276" s="63"/>
      <c r="O276" s="63"/>
      <c r="P276" s="63"/>
      <c r="Q276" s="63">
        <f t="shared" si="15"/>
        <v>273.23</v>
      </c>
      <c r="R276" s="63">
        <f t="shared" si="16"/>
        <v>0</v>
      </c>
      <c r="S276" s="63">
        <f t="shared" si="17"/>
        <v>273.23</v>
      </c>
    </row>
    <row r="277" spans="1:19" s="77" customFormat="1" ht="12" x14ac:dyDescent="0.2">
      <c r="A277" s="68">
        <v>148191</v>
      </c>
      <c r="B277" s="68" t="s">
        <v>7439</v>
      </c>
      <c r="C277" s="88">
        <v>174</v>
      </c>
      <c r="D277" s="72" t="s">
        <v>7493</v>
      </c>
      <c r="E277" s="155" t="s">
        <v>7127</v>
      </c>
      <c r="F277" s="74">
        <v>42911</v>
      </c>
      <c r="G277" s="95">
        <f>219+1353.3+69.51+41.3</f>
        <v>1683.11</v>
      </c>
      <c r="H277" s="63"/>
      <c r="I277" s="63"/>
      <c r="J277" s="63"/>
      <c r="K277" s="133"/>
      <c r="L277" s="63"/>
      <c r="M277" s="63"/>
      <c r="N277" s="63"/>
      <c r="O277" s="63"/>
      <c r="P277" s="63"/>
      <c r="Q277" s="63">
        <f t="shared" si="15"/>
        <v>1683.11</v>
      </c>
      <c r="R277" s="63">
        <f t="shared" si="16"/>
        <v>0</v>
      </c>
      <c r="S277" s="63">
        <f t="shared" si="17"/>
        <v>1683.11</v>
      </c>
    </row>
    <row r="278" spans="1:19" s="77" customFormat="1" ht="12" x14ac:dyDescent="0.2">
      <c r="A278" s="68">
        <v>145673</v>
      </c>
      <c r="B278" s="68" t="s">
        <v>7440</v>
      </c>
      <c r="C278" s="88">
        <v>175</v>
      </c>
      <c r="D278" s="72" t="s">
        <v>7494</v>
      </c>
      <c r="E278" s="155" t="s">
        <v>19</v>
      </c>
      <c r="F278" s="74">
        <v>42916</v>
      </c>
      <c r="G278" s="95">
        <f>155.85+41.3+199.05+199.05+353.75+666.2</f>
        <v>1615.2</v>
      </c>
      <c r="H278" s="63"/>
      <c r="I278" s="63">
        <f>850+735+850+1615</f>
        <v>4050</v>
      </c>
      <c r="J278" s="63"/>
      <c r="K278" s="133"/>
      <c r="L278" s="63"/>
      <c r="M278" s="63"/>
      <c r="N278" s="63"/>
      <c r="O278" s="63"/>
      <c r="P278" s="63"/>
      <c r="Q278" s="63">
        <f t="shared" si="15"/>
        <v>5665.2</v>
      </c>
      <c r="R278" s="63">
        <f t="shared" si="16"/>
        <v>0</v>
      </c>
      <c r="S278" s="63">
        <f t="shared" si="17"/>
        <v>5665.2</v>
      </c>
    </row>
    <row r="279" spans="1:19" s="77" customFormat="1" ht="12" x14ac:dyDescent="0.2">
      <c r="A279" s="68">
        <v>142456</v>
      </c>
      <c r="B279" s="68" t="s">
        <v>7441</v>
      </c>
      <c r="C279" s="88">
        <v>176</v>
      </c>
      <c r="D279" s="72" t="s">
        <v>7495</v>
      </c>
      <c r="E279" s="155" t="s">
        <v>19</v>
      </c>
      <c r="F279" s="74">
        <v>42916</v>
      </c>
      <c r="G279" s="95">
        <v>194.5</v>
      </c>
      <c r="H279" s="63"/>
      <c r="I279" s="63"/>
      <c r="J279" s="63"/>
      <c r="K279" s="133"/>
      <c r="L279" s="63"/>
      <c r="M279" s="63"/>
      <c r="N279" s="63"/>
      <c r="O279" s="63"/>
      <c r="P279" s="63"/>
      <c r="Q279" s="63">
        <f t="shared" si="15"/>
        <v>194.5</v>
      </c>
      <c r="R279" s="63">
        <f t="shared" si="16"/>
        <v>0</v>
      </c>
      <c r="S279" s="63">
        <f t="shared" si="17"/>
        <v>194.5</v>
      </c>
    </row>
    <row r="280" spans="1:19" s="77" customFormat="1" ht="12" x14ac:dyDescent="0.2">
      <c r="A280" s="68">
        <v>140799</v>
      </c>
      <c r="B280" s="68" t="s">
        <v>7498</v>
      </c>
      <c r="C280" s="88">
        <v>177</v>
      </c>
      <c r="D280" s="72" t="s">
        <v>7523</v>
      </c>
      <c r="E280" s="155" t="s">
        <v>19</v>
      </c>
      <c r="F280" s="74">
        <v>42917</v>
      </c>
      <c r="G280" s="95">
        <f>97</f>
        <v>97</v>
      </c>
      <c r="H280" s="63"/>
      <c r="I280" s="63"/>
      <c r="J280" s="63"/>
      <c r="K280" s="133"/>
      <c r="L280" s="63"/>
      <c r="M280" s="63"/>
      <c r="N280" s="63"/>
      <c r="O280" s="63"/>
      <c r="P280" s="63"/>
      <c r="Q280" s="63">
        <f t="shared" si="15"/>
        <v>97</v>
      </c>
      <c r="R280" s="63">
        <f t="shared" si="16"/>
        <v>0</v>
      </c>
      <c r="S280" s="63">
        <f t="shared" si="17"/>
        <v>97</v>
      </c>
    </row>
    <row r="281" spans="1:19" s="77" customFormat="1" ht="12" x14ac:dyDescent="0.2">
      <c r="A281" s="68">
        <v>548</v>
      </c>
      <c r="B281" s="68" t="s">
        <v>7499</v>
      </c>
      <c r="C281" s="88">
        <v>178</v>
      </c>
      <c r="D281" s="72" t="s">
        <v>7524</v>
      </c>
      <c r="E281" s="155" t="s">
        <v>19</v>
      </c>
      <c r="F281" s="74">
        <v>42918</v>
      </c>
      <c r="G281" s="95">
        <v>48.5</v>
      </c>
      <c r="H281" s="63"/>
      <c r="I281" s="63"/>
      <c r="J281" s="63"/>
      <c r="K281" s="133"/>
      <c r="L281" s="63"/>
      <c r="M281" s="63"/>
      <c r="N281" s="63"/>
      <c r="O281" s="63"/>
      <c r="P281" s="63"/>
      <c r="Q281" s="63">
        <f t="shared" si="15"/>
        <v>48.5</v>
      </c>
      <c r="R281" s="63">
        <f t="shared" si="16"/>
        <v>0</v>
      </c>
      <c r="S281" s="63">
        <f t="shared" si="17"/>
        <v>48.5</v>
      </c>
    </row>
    <row r="282" spans="1:19" s="77" customFormat="1" ht="12" x14ac:dyDescent="0.2">
      <c r="A282" s="68">
        <v>548</v>
      </c>
      <c r="B282" s="68" t="s">
        <v>7499</v>
      </c>
      <c r="C282" s="88">
        <v>178</v>
      </c>
      <c r="D282" s="72" t="s">
        <v>7525</v>
      </c>
      <c r="E282" s="155" t="s">
        <v>19</v>
      </c>
      <c r="F282" s="74">
        <v>42918</v>
      </c>
      <c r="G282" s="95">
        <f>203.03+148.76+1038+218.06+491.2+300+182.92+132.35+41.3+767+55</f>
        <v>3577.62</v>
      </c>
      <c r="H282" s="63"/>
      <c r="I282" s="63"/>
      <c r="J282" s="63"/>
      <c r="K282" s="133"/>
      <c r="L282" s="63"/>
      <c r="M282" s="63"/>
      <c r="N282" s="63"/>
      <c r="O282" s="63"/>
      <c r="P282" s="63"/>
      <c r="Q282" s="63">
        <f t="shared" si="15"/>
        <v>3577.62</v>
      </c>
      <c r="R282" s="63">
        <f t="shared" si="16"/>
        <v>0</v>
      </c>
      <c r="S282" s="63">
        <f t="shared" si="17"/>
        <v>3577.62</v>
      </c>
    </row>
    <row r="283" spans="1:19" s="77" customFormat="1" ht="12" x14ac:dyDescent="0.2">
      <c r="A283" s="68">
        <v>1052</v>
      </c>
      <c r="B283" s="68" t="s">
        <v>6362</v>
      </c>
      <c r="C283" s="88">
        <v>179</v>
      </c>
      <c r="D283" s="72" t="s">
        <v>7526</v>
      </c>
      <c r="E283" s="155" t="s">
        <v>19</v>
      </c>
      <c r="F283" s="74">
        <v>42918</v>
      </c>
      <c r="G283" s="95">
        <f>300+170.9</f>
        <v>470.9</v>
      </c>
      <c r="H283" s="63"/>
      <c r="I283" s="63"/>
      <c r="J283" s="63"/>
      <c r="K283" s="133"/>
      <c r="L283" s="63"/>
      <c r="M283" s="63"/>
      <c r="N283" s="63"/>
      <c r="O283" s="63"/>
      <c r="P283" s="63"/>
      <c r="Q283" s="63">
        <f t="shared" si="15"/>
        <v>470.9</v>
      </c>
      <c r="R283" s="63">
        <f t="shared" si="16"/>
        <v>0</v>
      </c>
      <c r="S283" s="63">
        <f t="shared" si="17"/>
        <v>470.9</v>
      </c>
    </row>
    <row r="284" spans="1:19" s="77" customFormat="1" ht="12" x14ac:dyDescent="0.2">
      <c r="A284" s="68">
        <v>141465</v>
      </c>
      <c r="B284" s="68" t="s">
        <v>7500</v>
      </c>
      <c r="C284" s="88">
        <v>180</v>
      </c>
      <c r="D284" s="72" t="s">
        <v>7527</v>
      </c>
      <c r="E284" s="155" t="s">
        <v>19</v>
      </c>
      <c r="F284" s="74">
        <v>42921</v>
      </c>
      <c r="G284" s="95">
        <f>273.12+70+163.7+91.83+348.52+3584.26+643.68+212.4+1936.05+180+60.82+5115.27+310.36+87.08+372.7+219.98+55+69.38+295</f>
        <v>14089.150000000001</v>
      </c>
      <c r="H284" s="63"/>
      <c r="I284" s="63">
        <f>3428.33+621.67</f>
        <v>4050</v>
      </c>
      <c r="J284" s="63"/>
      <c r="K284" s="133"/>
      <c r="L284" s="63"/>
      <c r="M284" s="63"/>
      <c r="N284" s="63"/>
      <c r="O284" s="63"/>
      <c r="P284" s="63"/>
      <c r="Q284" s="63">
        <f t="shared" si="15"/>
        <v>18139.150000000001</v>
      </c>
      <c r="R284" s="63">
        <f t="shared" si="16"/>
        <v>0</v>
      </c>
      <c r="S284" s="63">
        <f t="shared" si="17"/>
        <v>18139.150000000001</v>
      </c>
    </row>
    <row r="285" spans="1:19" s="77" customFormat="1" ht="12" x14ac:dyDescent="0.2">
      <c r="A285" s="68">
        <v>140130</v>
      </c>
      <c r="B285" s="68" t="s">
        <v>7501</v>
      </c>
      <c r="C285" s="88">
        <v>181</v>
      </c>
      <c r="D285" s="72" t="s">
        <v>7528</v>
      </c>
      <c r="E285" s="155" t="s">
        <v>19</v>
      </c>
      <c r="F285" s="74">
        <v>42922</v>
      </c>
      <c r="G285" s="95">
        <v>167.91</v>
      </c>
      <c r="H285" s="63"/>
      <c r="I285" s="63"/>
      <c r="J285" s="63"/>
      <c r="K285" s="133"/>
      <c r="L285" s="63"/>
      <c r="M285" s="63"/>
      <c r="N285" s="63"/>
      <c r="O285" s="63"/>
      <c r="P285" s="63"/>
      <c r="Q285" s="63">
        <f t="shared" si="15"/>
        <v>167.91</v>
      </c>
      <c r="R285" s="63">
        <f t="shared" si="16"/>
        <v>0</v>
      </c>
      <c r="S285" s="63">
        <f t="shared" si="17"/>
        <v>167.91</v>
      </c>
    </row>
    <row r="286" spans="1:19" s="77" customFormat="1" ht="12" x14ac:dyDescent="0.2">
      <c r="A286" s="68">
        <v>148351</v>
      </c>
      <c r="B286" s="68" t="s">
        <v>7502</v>
      </c>
      <c r="C286" s="88">
        <v>182</v>
      </c>
      <c r="D286" s="72" t="s">
        <v>7529</v>
      </c>
      <c r="E286" s="155" t="s">
        <v>7127</v>
      </c>
      <c r="F286" s="74">
        <v>42921</v>
      </c>
      <c r="G286" s="95">
        <f>6</f>
        <v>6</v>
      </c>
      <c r="H286" s="63"/>
      <c r="I286" s="63"/>
      <c r="J286" s="63"/>
      <c r="K286" s="133"/>
      <c r="L286" s="63"/>
      <c r="M286" s="63"/>
      <c r="N286" s="63"/>
      <c r="O286" s="63"/>
      <c r="P286" s="63"/>
      <c r="Q286" s="63">
        <f t="shared" si="15"/>
        <v>6</v>
      </c>
      <c r="R286" s="63">
        <f t="shared" si="16"/>
        <v>0</v>
      </c>
      <c r="S286" s="63">
        <f t="shared" si="17"/>
        <v>6</v>
      </c>
    </row>
    <row r="287" spans="1:19" s="77" customFormat="1" ht="12" x14ac:dyDescent="0.2">
      <c r="A287" s="68">
        <v>148351</v>
      </c>
      <c r="B287" s="68" t="s">
        <v>7502</v>
      </c>
      <c r="C287" s="88">
        <v>182</v>
      </c>
      <c r="D287" s="72" t="s">
        <v>7530</v>
      </c>
      <c r="E287" s="155" t="s">
        <v>7127</v>
      </c>
      <c r="F287" s="74">
        <v>42921</v>
      </c>
      <c r="G287" s="95">
        <f>18</f>
        <v>18</v>
      </c>
      <c r="H287" s="63"/>
      <c r="I287" s="63"/>
      <c r="J287" s="63"/>
      <c r="K287" s="133"/>
      <c r="L287" s="63"/>
      <c r="M287" s="63"/>
      <c r="N287" s="63"/>
      <c r="O287" s="63"/>
      <c r="P287" s="63"/>
      <c r="Q287" s="63">
        <f t="shared" si="15"/>
        <v>18</v>
      </c>
      <c r="R287" s="63">
        <f t="shared" si="16"/>
        <v>0</v>
      </c>
      <c r="S287" s="63">
        <f t="shared" si="17"/>
        <v>18</v>
      </c>
    </row>
    <row r="288" spans="1:19" s="77" customFormat="1" ht="12" x14ac:dyDescent="0.2">
      <c r="A288" s="68">
        <v>7252</v>
      </c>
      <c r="B288" s="68" t="s">
        <v>7503</v>
      </c>
      <c r="C288" s="88">
        <v>183</v>
      </c>
      <c r="D288" s="72" t="s">
        <v>7531</v>
      </c>
      <c r="E288" s="155" t="s">
        <v>19</v>
      </c>
      <c r="F288" s="74">
        <v>42923</v>
      </c>
      <c r="G288" s="95">
        <v>93.53</v>
      </c>
      <c r="H288" s="63"/>
      <c r="I288" s="63"/>
      <c r="J288" s="63"/>
      <c r="K288" s="133"/>
      <c r="L288" s="63"/>
      <c r="M288" s="63"/>
      <c r="N288" s="63"/>
      <c r="O288" s="63"/>
      <c r="P288" s="63"/>
      <c r="Q288" s="63">
        <f t="shared" si="15"/>
        <v>93.53</v>
      </c>
      <c r="R288" s="63">
        <f t="shared" si="16"/>
        <v>0</v>
      </c>
      <c r="S288" s="63">
        <f t="shared" si="17"/>
        <v>93.53</v>
      </c>
    </row>
    <row r="289" spans="1:19" s="77" customFormat="1" ht="12" x14ac:dyDescent="0.2">
      <c r="A289" s="68">
        <v>7252</v>
      </c>
      <c r="B289" s="68" t="s">
        <v>7503</v>
      </c>
      <c r="C289" s="88">
        <v>183</v>
      </c>
      <c r="D289" s="72" t="s">
        <v>7532</v>
      </c>
      <c r="E289" s="155" t="s">
        <v>19</v>
      </c>
      <c r="F289" s="74">
        <v>42923</v>
      </c>
      <c r="G289" s="95">
        <f>103.21</f>
        <v>103.21</v>
      </c>
      <c r="H289" s="63"/>
      <c r="I289" s="63"/>
      <c r="J289" s="63"/>
      <c r="K289" s="133"/>
      <c r="L289" s="63"/>
      <c r="M289" s="63"/>
      <c r="N289" s="63"/>
      <c r="O289" s="63"/>
      <c r="P289" s="63"/>
      <c r="Q289" s="63">
        <f t="shared" si="15"/>
        <v>103.21</v>
      </c>
      <c r="R289" s="63">
        <f t="shared" si="16"/>
        <v>0</v>
      </c>
      <c r="S289" s="63">
        <f t="shared" si="17"/>
        <v>103.21</v>
      </c>
    </row>
    <row r="290" spans="1:19" s="77" customFormat="1" ht="12" x14ac:dyDescent="0.2">
      <c r="A290" s="68">
        <v>1470</v>
      </c>
      <c r="B290" s="68" t="s">
        <v>7504</v>
      </c>
      <c r="C290" s="88">
        <v>184</v>
      </c>
      <c r="D290" s="72" t="s">
        <v>7533</v>
      </c>
      <c r="E290" s="155" t="s">
        <v>19</v>
      </c>
      <c r="F290" s="74">
        <v>42925</v>
      </c>
      <c r="G290" s="95">
        <f>157</f>
        <v>157</v>
      </c>
      <c r="H290" s="63"/>
      <c r="I290" s="63"/>
      <c r="J290" s="63"/>
      <c r="K290" s="133"/>
      <c r="L290" s="63"/>
      <c r="M290" s="63"/>
      <c r="N290" s="63"/>
      <c r="O290" s="63"/>
      <c r="P290" s="63"/>
      <c r="Q290" s="63">
        <f t="shared" si="15"/>
        <v>157</v>
      </c>
      <c r="R290" s="63">
        <f t="shared" si="16"/>
        <v>0</v>
      </c>
      <c r="S290" s="63">
        <f t="shared" si="17"/>
        <v>157</v>
      </c>
    </row>
    <row r="291" spans="1:19" s="77" customFormat="1" ht="12" x14ac:dyDescent="0.2">
      <c r="A291" s="68">
        <v>7252</v>
      </c>
      <c r="B291" s="68" t="s">
        <v>7503</v>
      </c>
      <c r="C291" s="88">
        <v>185</v>
      </c>
      <c r="D291" s="72" t="s">
        <v>7534</v>
      </c>
      <c r="E291" s="155" t="s">
        <v>19</v>
      </c>
      <c r="F291" s="74">
        <v>42927</v>
      </c>
      <c r="G291" s="95">
        <f>173.4+350</f>
        <v>523.4</v>
      </c>
      <c r="H291" s="63"/>
      <c r="I291" s="63"/>
      <c r="J291" s="63"/>
      <c r="K291" s="133"/>
      <c r="L291" s="63"/>
      <c r="M291" s="63"/>
      <c r="N291" s="63"/>
      <c r="O291" s="63"/>
      <c r="P291" s="63"/>
      <c r="Q291" s="63">
        <f t="shared" si="15"/>
        <v>523.4</v>
      </c>
      <c r="R291" s="63">
        <f t="shared" si="16"/>
        <v>0</v>
      </c>
      <c r="S291" s="63">
        <f t="shared" si="17"/>
        <v>523.4</v>
      </c>
    </row>
    <row r="292" spans="1:19" s="77" customFormat="1" ht="12" x14ac:dyDescent="0.2">
      <c r="A292" s="68">
        <v>142455</v>
      </c>
      <c r="B292" s="68" t="s">
        <v>7505</v>
      </c>
      <c r="C292" s="88">
        <v>186</v>
      </c>
      <c r="D292" s="72" t="s">
        <v>7535</v>
      </c>
      <c r="E292" s="155" t="s">
        <v>19</v>
      </c>
      <c r="F292" s="74">
        <v>42931</v>
      </c>
      <c r="G292" s="95">
        <v>183.2</v>
      </c>
      <c r="H292" s="63"/>
      <c r="I292" s="63"/>
      <c r="J292" s="63"/>
      <c r="K292" s="133"/>
      <c r="L292" s="63"/>
      <c r="M292" s="63"/>
      <c r="N292" s="63"/>
      <c r="O292" s="63"/>
      <c r="P292" s="63"/>
      <c r="Q292" s="63">
        <f t="shared" si="15"/>
        <v>183.2</v>
      </c>
      <c r="R292" s="63">
        <f t="shared" si="16"/>
        <v>0</v>
      </c>
      <c r="S292" s="63">
        <f t="shared" si="17"/>
        <v>183.2</v>
      </c>
    </row>
    <row r="293" spans="1:19" s="77" customFormat="1" ht="12" x14ac:dyDescent="0.2">
      <c r="A293" s="68">
        <v>146548</v>
      </c>
      <c r="B293" s="68" t="s">
        <v>7506</v>
      </c>
      <c r="C293" s="88">
        <v>187</v>
      </c>
      <c r="D293" s="72" t="s">
        <v>7536</v>
      </c>
      <c r="E293" s="155" t="s">
        <v>19</v>
      </c>
      <c r="F293" s="74">
        <v>42931</v>
      </c>
      <c r="G293" s="95">
        <v>131.5</v>
      </c>
      <c r="H293" s="63"/>
      <c r="I293" s="63"/>
      <c r="J293" s="63"/>
      <c r="K293" s="133"/>
      <c r="L293" s="63"/>
      <c r="M293" s="63"/>
      <c r="N293" s="63"/>
      <c r="O293" s="63"/>
      <c r="P293" s="63"/>
      <c r="Q293" s="63">
        <f t="shared" si="15"/>
        <v>131.5</v>
      </c>
      <c r="R293" s="63">
        <f t="shared" si="16"/>
        <v>0</v>
      </c>
      <c r="S293" s="63">
        <f t="shared" si="17"/>
        <v>131.5</v>
      </c>
    </row>
    <row r="294" spans="1:19" s="77" customFormat="1" ht="12" x14ac:dyDescent="0.2">
      <c r="A294" s="68">
        <v>146548</v>
      </c>
      <c r="B294" s="68" t="s">
        <v>7506</v>
      </c>
      <c r="C294" s="88">
        <v>187</v>
      </c>
      <c r="D294" s="72" t="s">
        <v>7537</v>
      </c>
      <c r="E294" s="155" t="s">
        <v>19</v>
      </c>
      <c r="F294" s="74">
        <v>42931</v>
      </c>
      <c r="G294" s="95">
        <v>147.5</v>
      </c>
      <c r="H294" s="63"/>
      <c r="I294" s="63"/>
      <c r="J294" s="63"/>
      <c r="K294" s="133"/>
      <c r="L294" s="63"/>
      <c r="M294" s="63"/>
      <c r="N294" s="63"/>
      <c r="O294" s="63"/>
      <c r="P294" s="63"/>
      <c r="Q294" s="63">
        <f t="shared" si="15"/>
        <v>147.5</v>
      </c>
      <c r="R294" s="63">
        <f t="shared" si="16"/>
        <v>0</v>
      </c>
      <c r="S294" s="63">
        <f t="shared" si="17"/>
        <v>147.5</v>
      </c>
    </row>
    <row r="295" spans="1:19" s="77" customFormat="1" ht="12" x14ac:dyDescent="0.2">
      <c r="A295" s="68">
        <v>148888</v>
      </c>
      <c r="B295" s="68" t="s">
        <v>7507</v>
      </c>
      <c r="C295" s="88">
        <v>188</v>
      </c>
      <c r="D295" s="72" t="s">
        <v>7538</v>
      </c>
      <c r="E295" s="155" t="s">
        <v>19</v>
      </c>
      <c r="F295" s="74">
        <v>42934</v>
      </c>
      <c r="G295" s="95">
        <v>40</v>
      </c>
      <c r="H295" s="63"/>
      <c r="I295" s="63"/>
      <c r="J295" s="63"/>
      <c r="K295" s="133"/>
      <c r="L295" s="63"/>
      <c r="M295" s="63"/>
      <c r="N295" s="63"/>
      <c r="O295" s="63"/>
      <c r="P295" s="63"/>
      <c r="Q295" s="63">
        <f t="shared" si="15"/>
        <v>40</v>
      </c>
      <c r="R295" s="63">
        <f t="shared" si="16"/>
        <v>0</v>
      </c>
      <c r="S295" s="63">
        <f t="shared" si="17"/>
        <v>40</v>
      </c>
    </row>
    <row r="296" spans="1:19" s="77" customFormat="1" ht="12" x14ac:dyDescent="0.2">
      <c r="A296" s="68">
        <v>148888</v>
      </c>
      <c r="B296" s="68" t="s">
        <v>7507</v>
      </c>
      <c r="C296" s="88">
        <v>188</v>
      </c>
      <c r="D296" s="72" t="s">
        <v>7539</v>
      </c>
      <c r="E296" s="155" t="s">
        <v>19</v>
      </c>
      <c r="F296" s="74">
        <v>42934</v>
      </c>
      <c r="G296" s="95">
        <v>116.4</v>
      </c>
      <c r="H296" s="63"/>
      <c r="I296" s="63"/>
      <c r="J296" s="63"/>
      <c r="K296" s="133"/>
      <c r="L296" s="63"/>
      <c r="M296" s="63"/>
      <c r="N296" s="63"/>
      <c r="O296" s="63"/>
      <c r="P296" s="63"/>
      <c r="Q296" s="63">
        <f t="shared" si="15"/>
        <v>116.4</v>
      </c>
      <c r="R296" s="63">
        <f t="shared" si="16"/>
        <v>0</v>
      </c>
      <c r="S296" s="63">
        <f t="shared" si="17"/>
        <v>116.4</v>
      </c>
    </row>
    <row r="297" spans="1:19" s="77" customFormat="1" ht="12" x14ac:dyDescent="0.2">
      <c r="A297" s="68">
        <v>148888</v>
      </c>
      <c r="B297" s="68" t="s">
        <v>7507</v>
      </c>
      <c r="C297" s="88">
        <v>188</v>
      </c>
      <c r="D297" s="72" t="s">
        <v>7540</v>
      </c>
      <c r="E297" s="155" t="s">
        <v>19</v>
      </c>
      <c r="F297" s="74">
        <v>42934</v>
      </c>
      <c r="G297" s="95">
        <v>108.4</v>
      </c>
      <c r="H297" s="63"/>
      <c r="I297" s="63"/>
      <c r="J297" s="63"/>
      <c r="K297" s="133"/>
      <c r="L297" s="63"/>
      <c r="M297" s="63"/>
      <c r="N297" s="63"/>
      <c r="O297" s="63"/>
      <c r="P297" s="63"/>
      <c r="Q297" s="63">
        <f t="shared" si="15"/>
        <v>108.4</v>
      </c>
      <c r="R297" s="63">
        <f t="shared" si="16"/>
        <v>0</v>
      </c>
      <c r="S297" s="63">
        <f t="shared" si="17"/>
        <v>108.4</v>
      </c>
    </row>
    <row r="298" spans="1:19" s="77" customFormat="1" ht="12" x14ac:dyDescent="0.2">
      <c r="A298" s="68">
        <v>148888</v>
      </c>
      <c r="B298" s="68" t="s">
        <v>7507</v>
      </c>
      <c r="C298" s="88">
        <v>188</v>
      </c>
      <c r="D298" s="72" t="s">
        <v>7541</v>
      </c>
      <c r="E298" s="155" t="s">
        <v>19</v>
      </c>
      <c r="F298" s="74">
        <v>42934</v>
      </c>
      <c r="G298" s="95">
        <v>138.4</v>
      </c>
      <c r="H298" s="63"/>
      <c r="I298" s="63"/>
      <c r="J298" s="63"/>
      <c r="K298" s="133"/>
      <c r="L298" s="63"/>
      <c r="M298" s="63"/>
      <c r="N298" s="63"/>
      <c r="O298" s="63"/>
      <c r="P298" s="63"/>
      <c r="Q298" s="63">
        <f t="shared" si="15"/>
        <v>138.4</v>
      </c>
      <c r="R298" s="63">
        <f t="shared" si="16"/>
        <v>0</v>
      </c>
      <c r="S298" s="63">
        <f t="shared" si="17"/>
        <v>138.4</v>
      </c>
    </row>
    <row r="299" spans="1:19" s="77" customFormat="1" ht="12" x14ac:dyDescent="0.2">
      <c r="A299" s="68">
        <v>148888</v>
      </c>
      <c r="B299" s="68" t="s">
        <v>7507</v>
      </c>
      <c r="C299" s="88">
        <v>188</v>
      </c>
      <c r="D299" s="72" t="s">
        <v>7542</v>
      </c>
      <c r="E299" s="155" t="s">
        <v>19</v>
      </c>
      <c r="F299" s="74">
        <v>42934</v>
      </c>
      <c r="G299" s="95">
        <v>40</v>
      </c>
      <c r="H299" s="63"/>
      <c r="I299" s="63"/>
      <c r="J299" s="63"/>
      <c r="K299" s="133"/>
      <c r="L299" s="63"/>
      <c r="M299" s="63"/>
      <c r="N299" s="63"/>
      <c r="O299" s="63"/>
      <c r="P299" s="63"/>
      <c r="Q299" s="63">
        <f t="shared" si="15"/>
        <v>40</v>
      </c>
      <c r="R299" s="63">
        <f t="shared" si="16"/>
        <v>0</v>
      </c>
      <c r="S299" s="63">
        <f t="shared" si="17"/>
        <v>40</v>
      </c>
    </row>
    <row r="300" spans="1:19" s="77" customFormat="1" ht="12" x14ac:dyDescent="0.2">
      <c r="A300" s="68">
        <v>145602</v>
      </c>
      <c r="B300" s="68" t="s">
        <v>7508</v>
      </c>
      <c r="C300" s="88">
        <v>189</v>
      </c>
      <c r="D300" s="72" t="s">
        <v>7543</v>
      </c>
      <c r="E300" s="155" t="s">
        <v>19</v>
      </c>
      <c r="F300" s="74">
        <v>42936</v>
      </c>
      <c r="G300" s="95">
        <f>154.53</f>
        <v>154.53</v>
      </c>
      <c r="H300" s="63"/>
      <c r="I300" s="63"/>
      <c r="J300" s="63"/>
      <c r="K300" s="133"/>
      <c r="L300" s="63"/>
      <c r="M300" s="63"/>
      <c r="N300" s="63"/>
      <c r="O300" s="63"/>
      <c r="P300" s="63"/>
      <c r="Q300" s="63">
        <f t="shared" si="15"/>
        <v>154.53</v>
      </c>
      <c r="R300" s="63">
        <f t="shared" si="16"/>
        <v>0</v>
      </c>
      <c r="S300" s="63">
        <f t="shared" si="17"/>
        <v>154.53</v>
      </c>
    </row>
    <row r="301" spans="1:19" s="77" customFormat="1" ht="12" x14ac:dyDescent="0.2">
      <c r="A301" s="68">
        <v>148691</v>
      </c>
      <c r="B301" s="68" t="s">
        <v>7509</v>
      </c>
      <c r="C301" s="88">
        <v>190</v>
      </c>
      <c r="D301" s="72" t="s">
        <v>7544</v>
      </c>
      <c r="E301" s="155" t="s">
        <v>19</v>
      </c>
      <c r="F301" s="74">
        <v>42936</v>
      </c>
      <c r="G301" s="95">
        <v>129.5</v>
      </c>
      <c r="H301" s="63"/>
      <c r="I301" s="63"/>
      <c r="J301" s="63"/>
      <c r="K301" s="133"/>
      <c r="L301" s="63"/>
      <c r="M301" s="63"/>
      <c r="N301" s="63"/>
      <c r="O301" s="63"/>
      <c r="P301" s="63"/>
      <c r="Q301" s="63">
        <f t="shared" si="15"/>
        <v>129.5</v>
      </c>
      <c r="R301" s="63">
        <f t="shared" si="16"/>
        <v>0</v>
      </c>
      <c r="S301" s="63">
        <f t="shared" si="17"/>
        <v>129.5</v>
      </c>
    </row>
    <row r="302" spans="1:19" s="77" customFormat="1" ht="12" x14ac:dyDescent="0.2">
      <c r="A302" s="68">
        <v>3060</v>
      </c>
      <c r="B302" s="68" t="s">
        <v>7510</v>
      </c>
      <c r="C302" s="88">
        <v>191</v>
      </c>
      <c r="D302" s="72" t="s">
        <v>7545</v>
      </c>
      <c r="E302" s="155" t="s">
        <v>19</v>
      </c>
      <c r="F302" s="74">
        <v>42937</v>
      </c>
      <c r="G302" s="95">
        <v>349.7</v>
      </c>
      <c r="H302" s="63"/>
      <c r="I302" s="63"/>
      <c r="J302" s="63"/>
      <c r="K302" s="133"/>
      <c r="L302" s="63"/>
      <c r="M302" s="63">
        <v>4050</v>
      </c>
      <c r="N302" s="63"/>
      <c r="O302" s="63">
        <v>16200</v>
      </c>
      <c r="P302" s="63"/>
      <c r="Q302" s="63">
        <f t="shared" si="15"/>
        <v>20599.7</v>
      </c>
      <c r="R302" s="63">
        <f t="shared" si="16"/>
        <v>0</v>
      </c>
      <c r="S302" s="63">
        <f t="shared" si="17"/>
        <v>20599.7</v>
      </c>
    </row>
    <row r="303" spans="1:19" s="77" customFormat="1" ht="12" x14ac:dyDescent="0.2">
      <c r="A303" s="68">
        <v>3478</v>
      </c>
      <c r="B303" s="68" t="s">
        <v>7511</v>
      </c>
      <c r="C303" s="88">
        <v>192</v>
      </c>
      <c r="D303" s="72" t="s">
        <v>7546</v>
      </c>
      <c r="E303" s="155" t="s">
        <v>19</v>
      </c>
      <c r="F303" s="74">
        <v>42937</v>
      </c>
      <c r="G303" s="95">
        <f>107+117.74+296.24+41.3+35.9</f>
        <v>598.17999999999995</v>
      </c>
      <c r="H303" s="63"/>
      <c r="I303" s="63">
        <f>850</f>
        <v>850</v>
      </c>
      <c r="J303" s="63"/>
      <c r="K303" s="133"/>
      <c r="L303" s="63"/>
      <c r="M303" s="63"/>
      <c r="N303" s="63"/>
      <c r="O303" s="63"/>
      <c r="P303" s="63"/>
      <c r="Q303" s="63">
        <f t="shared" si="15"/>
        <v>1448.1799999999998</v>
      </c>
      <c r="R303" s="63">
        <f t="shared" si="16"/>
        <v>0</v>
      </c>
      <c r="S303" s="63">
        <f t="shared" si="17"/>
        <v>1448.1799999999998</v>
      </c>
    </row>
    <row r="304" spans="1:19" s="77" customFormat="1" ht="12" x14ac:dyDescent="0.2">
      <c r="A304" s="68">
        <v>140273</v>
      </c>
      <c r="B304" s="68" t="s">
        <v>7512</v>
      </c>
      <c r="C304" s="88">
        <v>193</v>
      </c>
      <c r="D304" s="72" t="s">
        <v>7547</v>
      </c>
      <c r="E304" s="155" t="s">
        <v>19</v>
      </c>
      <c r="F304" s="74">
        <v>42937</v>
      </c>
      <c r="G304" s="95">
        <v>207.5</v>
      </c>
      <c r="H304" s="63"/>
      <c r="I304" s="63"/>
      <c r="J304" s="63"/>
      <c r="K304" s="133"/>
      <c r="L304" s="63"/>
      <c r="M304" s="63"/>
      <c r="N304" s="63"/>
      <c r="O304" s="63"/>
      <c r="P304" s="63"/>
      <c r="Q304" s="63">
        <f t="shared" si="15"/>
        <v>207.5</v>
      </c>
      <c r="R304" s="63">
        <f t="shared" si="16"/>
        <v>0</v>
      </c>
      <c r="S304" s="63">
        <f t="shared" si="17"/>
        <v>207.5</v>
      </c>
    </row>
    <row r="305" spans="1:19" s="77" customFormat="1" ht="12" x14ac:dyDescent="0.2">
      <c r="A305" s="68">
        <v>146973</v>
      </c>
      <c r="B305" s="68" t="s">
        <v>7513</v>
      </c>
      <c r="C305" s="88">
        <v>194</v>
      </c>
      <c r="D305" s="72" t="s">
        <v>9173</v>
      </c>
      <c r="E305" s="155" t="s">
        <v>19</v>
      </c>
      <c r="F305" s="74">
        <v>42938</v>
      </c>
      <c r="G305" s="95">
        <f>300+2427.78+698+350+300+389</f>
        <v>4464.7800000000007</v>
      </c>
      <c r="H305" s="63"/>
      <c r="I305" s="63">
        <f>1275</f>
        <v>1275</v>
      </c>
      <c r="J305" s="63"/>
      <c r="K305" s="133"/>
      <c r="L305" s="63"/>
      <c r="M305" s="63"/>
      <c r="N305" s="63"/>
      <c r="O305" s="63"/>
      <c r="P305" s="63"/>
      <c r="Q305" s="63">
        <f t="shared" si="15"/>
        <v>5739.7800000000007</v>
      </c>
      <c r="R305" s="63">
        <f t="shared" si="16"/>
        <v>0</v>
      </c>
      <c r="S305" s="63">
        <f t="shared" si="17"/>
        <v>5739.7800000000007</v>
      </c>
    </row>
    <row r="306" spans="1:19" s="77" customFormat="1" ht="12" x14ac:dyDescent="0.2">
      <c r="A306" s="68">
        <v>2072</v>
      </c>
      <c r="B306" s="68" t="s">
        <v>7514</v>
      </c>
      <c r="C306" s="88">
        <v>195</v>
      </c>
      <c r="D306" s="72" t="s">
        <v>7548</v>
      </c>
      <c r="E306" s="155" t="s">
        <v>19</v>
      </c>
      <c r="F306" s="74">
        <v>42938</v>
      </c>
      <c r="G306" s="95">
        <v>301.95999999999998</v>
      </c>
      <c r="H306" s="63"/>
      <c r="I306" s="63"/>
      <c r="J306" s="63"/>
      <c r="K306" s="133"/>
      <c r="L306" s="63"/>
      <c r="M306" s="63"/>
      <c r="N306" s="63"/>
      <c r="O306" s="63"/>
      <c r="P306" s="63"/>
      <c r="Q306" s="63">
        <f t="shared" si="15"/>
        <v>301.95999999999998</v>
      </c>
      <c r="R306" s="63">
        <f t="shared" si="16"/>
        <v>0</v>
      </c>
      <c r="S306" s="63">
        <f t="shared" si="17"/>
        <v>301.95999999999998</v>
      </c>
    </row>
    <row r="307" spans="1:19" s="77" customFormat="1" ht="12" x14ac:dyDescent="0.2">
      <c r="A307" s="68">
        <v>2072</v>
      </c>
      <c r="B307" s="68" t="s">
        <v>7514</v>
      </c>
      <c r="C307" s="88">
        <v>195</v>
      </c>
      <c r="D307" s="72" t="s">
        <v>7549</v>
      </c>
      <c r="E307" s="155" t="s">
        <v>19</v>
      </c>
      <c r="F307" s="74">
        <v>42938</v>
      </c>
      <c r="G307" s="95">
        <v>128.86000000000001</v>
      </c>
      <c r="H307" s="63"/>
      <c r="I307" s="63"/>
      <c r="J307" s="63"/>
      <c r="K307" s="133"/>
      <c r="L307" s="63"/>
      <c r="M307" s="63"/>
      <c r="N307" s="63"/>
      <c r="O307" s="63"/>
      <c r="P307" s="63"/>
      <c r="Q307" s="63">
        <f t="shared" si="15"/>
        <v>128.86000000000001</v>
      </c>
      <c r="R307" s="63">
        <f t="shared" si="16"/>
        <v>0</v>
      </c>
      <c r="S307" s="63">
        <f t="shared" si="17"/>
        <v>128.86000000000001</v>
      </c>
    </row>
    <row r="308" spans="1:19" s="77" customFormat="1" ht="12" x14ac:dyDescent="0.2">
      <c r="A308" s="68">
        <v>148736</v>
      </c>
      <c r="B308" s="68" t="s">
        <v>7515</v>
      </c>
      <c r="C308" s="88">
        <v>196</v>
      </c>
      <c r="D308" s="72" t="s">
        <v>7550</v>
      </c>
      <c r="E308" s="155" t="s">
        <v>19</v>
      </c>
      <c r="F308" s="74">
        <v>42938</v>
      </c>
      <c r="G308" s="95">
        <f>118</f>
        <v>118</v>
      </c>
      <c r="H308" s="63"/>
      <c r="I308" s="63"/>
      <c r="J308" s="63"/>
      <c r="K308" s="133"/>
      <c r="L308" s="63"/>
      <c r="M308" s="63"/>
      <c r="N308" s="63"/>
      <c r="O308" s="63"/>
      <c r="P308" s="63"/>
      <c r="Q308" s="63">
        <f t="shared" si="15"/>
        <v>118</v>
      </c>
      <c r="R308" s="63">
        <f t="shared" si="16"/>
        <v>0</v>
      </c>
      <c r="S308" s="63">
        <f t="shared" si="17"/>
        <v>118</v>
      </c>
    </row>
    <row r="309" spans="1:19" s="77" customFormat="1" ht="12" x14ac:dyDescent="0.2">
      <c r="A309" s="68">
        <v>141817</v>
      </c>
      <c r="B309" s="68" t="s">
        <v>7516</v>
      </c>
      <c r="C309" s="88">
        <v>197</v>
      </c>
      <c r="D309" s="72" t="s">
        <v>7551</v>
      </c>
      <c r="E309" s="155" t="s">
        <v>19</v>
      </c>
      <c r="F309" s="74">
        <v>42939</v>
      </c>
      <c r="G309" s="95">
        <f>300+350+4809.8</f>
        <v>5459.8</v>
      </c>
      <c r="H309" s="63"/>
      <c r="I309" s="63"/>
      <c r="J309" s="63"/>
      <c r="K309" s="133"/>
      <c r="L309" s="63"/>
      <c r="M309" s="63">
        <v>3900</v>
      </c>
      <c r="N309" s="63"/>
      <c r="O309" s="63">
        <v>16200</v>
      </c>
      <c r="P309" s="63"/>
      <c r="Q309" s="63">
        <f t="shared" si="15"/>
        <v>25559.8</v>
      </c>
      <c r="R309" s="63">
        <f t="shared" si="16"/>
        <v>0</v>
      </c>
      <c r="S309" s="63">
        <f t="shared" si="17"/>
        <v>25559.8</v>
      </c>
    </row>
    <row r="310" spans="1:19" s="77" customFormat="1" ht="12" x14ac:dyDescent="0.2">
      <c r="A310" s="68">
        <v>677</v>
      </c>
      <c r="B310" s="68" t="s">
        <v>7517</v>
      </c>
      <c r="C310" s="88">
        <v>198</v>
      </c>
      <c r="D310" s="72" t="s">
        <v>7552</v>
      </c>
      <c r="E310" s="155" t="s">
        <v>19</v>
      </c>
      <c r="F310" s="74">
        <v>42942</v>
      </c>
      <c r="G310" s="95"/>
      <c r="H310" s="63"/>
      <c r="I310" s="63"/>
      <c r="J310" s="63"/>
      <c r="K310" s="133"/>
      <c r="L310" s="63"/>
      <c r="M310" s="63"/>
      <c r="N310" s="63"/>
      <c r="O310" s="63"/>
      <c r="P310" s="63"/>
      <c r="Q310" s="63">
        <f t="shared" si="15"/>
        <v>0</v>
      </c>
      <c r="R310" s="63">
        <f t="shared" si="16"/>
        <v>0</v>
      </c>
      <c r="S310" s="63">
        <f t="shared" si="17"/>
        <v>0</v>
      </c>
    </row>
    <row r="311" spans="1:19" s="77" customFormat="1" ht="12" x14ac:dyDescent="0.2">
      <c r="A311" s="68">
        <v>677</v>
      </c>
      <c r="B311" s="68" t="s">
        <v>7517</v>
      </c>
      <c r="C311" s="88">
        <v>198</v>
      </c>
      <c r="D311" s="72" t="s">
        <v>7553</v>
      </c>
      <c r="E311" s="155" t="s">
        <v>19</v>
      </c>
      <c r="F311" s="74">
        <v>42942</v>
      </c>
      <c r="G311" s="95"/>
      <c r="H311" s="63"/>
      <c r="I311" s="63"/>
      <c r="J311" s="63"/>
      <c r="K311" s="133"/>
      <c r="L311" s="63"/>
      <c r="M311" s="63"/>
      <c r="N311" s="63"/>
      <c r="O311" s="63"/>
      <c r="P311" s="63"/>
      <c r="Q311" s="63">
        <f t="shared" si="15"/>
        <v>0</v>
      </c>
      <c r="R311" s="63">
        <f t="shared" si="16"/>
        <v>0</v>
      </c>
      <c r="S311" s="63">
        <f t="shared" si="17"/>
        <v>0</v>
      </c>
    </row>
    <row r="312" spans="1:19" s="77" customFormat="1" ht="12" x14ac:dyDescent="0.2">
      <c r="A312" s="68">
        <v>1141</v>
      </c>
      <c r="B312" s="68" t="s">
        <v>7518</v>
      </c>
      <c r="C312" s="88">
        <v>199</v>
      </c>
      <c r="D312" s="72" t="s">
        <v>7554</v>
      </c>
      <c r="E312" s="155" t="s">
        <v>19</v>
      </c>
      <c r="F312" s="74">
        <v>42942</v>
      </c>
      <c r="G312" s="95">
        <v>207.44</v>
      </c>
      <c r="H312" s="63"/>
      <c r="I312" s="63"/>
      <c r="J312" s="63"/>
      <c r="K312" s="133"/>
      <c r="L312" s="63"/>
      <c r="M312" s="63"/>
      <c r="N312" s="63"/>
      <c r="O312" s="63"/>
      <c r="P312" s="63"/>
      <c r="Q312" s="63">
        <f t="shared" si="15"/>
        <v>207.44</v>
      </c>
      <c r="R312" s="63">
        <f t="shared" si="16"/>
        <v>0</v>
      </c>
      <c r="S312" s="63">
        <f t="shared" si="17"/>
        <v>207.44</v>
      </c>
    </row>
    <row r="313" spans="1:19" s="77" customFormat="1" ht="12" x14ac:dyDescent="0.2">
      <c r="A313" s="68">
        <v>7989</v>
      </c>
      <c r="B313" s="68" t="s">
        <v>7519</v>
      </c>
      <c r="C313" s="88">
        <v>200</v>
      </c>
      <c r="D313" s="72" t="s">
        <v>7555</v>
      </c>
      <c r="E313" s="155" t="s">
        <v>19</v>
      </c>
      <c r="F313" s="74">
        <v>42943</v>
      </c>
      <c r="G313" s="95">
        <v>241</v>
      </c>
      <c r="H313" s="63"/>
      <c r="I313" s="63"/>
      <c r="J313" s="63"/>
      <c r="K313" s="133"/>
      <c r="L313" s="63"/>
      <c r="M313" s="63"/>
      <c r="N313" s="63"/>
      <c r="O313" s="63"/>
      <c r="P313" s="63"/>
      <c r="Q313" s="63">
        <f t="shared" si="15"/>
        <v>241</v>
      </c>
      <c r="R313" s="63">
        <f t="shared" si="16"/>
        <v>0</v>
      </c>
      <c r="S313" s="63">
        <f t="shared" si="17"/>
        <v>241</v>
      </c>
    </row>
    <row r="314" spans="1:19" s="77" customFormat="1" ht="12" x14ac:dyDescent="0.2">
      <c r="A314" s="68">
        <v>7989</v>
      </c>
      <c r="B314" s="68" t="s">
        <v>7519</v>
      </c>
      <c r="C314" s="88">
        <v>200</v>
      </c>
      <c r="D314" s="72" t="s">
        <v>7556</v>
      </c>
      <c r="E314" s="155" t="s">
        <v>19</v>
      </c>
      <c r="F314" s="74">
        <v>42943</v>
      </c>
      <c r="G314" s="95">
        <v>223.5</v>
      </c>
      <c r="H314" s="63"/>
      <c r="I314" s="63"/>
      <c r="J314" s="63"/>
      <c r="K314" s="133"/>
      <c r="L314" s="63"/>
      <c r="M314" s="63"/>
      <c r="N314" s="63"/>
      <c r="O314" s="63"/>
      <c r="P314" s="63"/>
      <c r="Q314" s="63">
        <f t="shared" si="15"/>
        <v>223.5</v>
      </c>
      <c r="R314" s="63">
        <f t="shared" si="16"/>
        <v>0</v>
      </c>
      <c r="S314" s="63">
        <f t="shared" si="17"/>
        <v>223.5</v>
      </c>
    </row>
    <row r="315" spans="1:19" s="77" customFormat="1" ht="12" x14ac:dyDescent="0.2">
      <c r="A315" s="68">
        <v>7989</v>
      </c>
      <c r="B315" s="68" t="s">
        <v>7519</v>
      </c>
      <c r="C315" s="88">
        <v>200</v>
      </c>
      <c r="D315" s="72" t="s">
        <v>7557</v>
      </c>
      <c r="E315" s="155" t="s">
        <v>19</v>
      </c>
      <c r="F315" s="74">
        <v>42943</v>
      </c>
      <c r="G315" s="95">
        <v>40.9</v>
      </c>
      <c r="H315" s="63"/>
      <c r="I315" s="63"/>
      <c r="J315" s="63"/>
      <c r="K315" s="133"/>
      <c r="L315" s="63"/>
      <c r="M315" s="63"/>
      <c r="N315" s="63"/>
      <c r="O315" s="63"/>
      <c r="P315" s="63"/>
      <c r="Q315" s="63">
        <f t="shared" si="15"/>
        <v>40.9</v>
      </c>
      <c r="R315" s="63">
        <f t="shared" si="16"/>
        <v>0</v>
      </c>
      <c r="S315" s="63">
        <f t="shared" si="17"/>
        <v>40.9</v>
      </c>
    </row>
    <row r="316" spans="1:19" s="77" customFormat="1" ht="12" x14ac:dyDescent="0.2">
      <c r="A316" s="68">
        <v>7989</v>
      </c>
      <c r="B316" s="68" t="s">
        <v>7519</v>
      </c>
      <c r="C316" s="88">
        <v>200</v>
      </c>
      <c r="D316" s="72" t="s">
        <v>7558</v>
      </c>
      <c r="E316" s="155" t="s">
        <v>19</v>
      </c>
      <c r="F316" s="74">
        <v>42943</v>
      </c>
      <c r="G316" s="95">
        <v>110.2</v>
      </c>
      <c r="H316" s="63"/>
      <c r="I316" s="63"/>
      <c r="J316" s="63"/>
      <c r="K316" s="133"/>
      <c r="L316" s="63"/>
      <c r="M316" s="63"/>
      <c r="N316" s="63"/>
      <c r="O316" s="63"/>
      <c r="P316" s="63"/>
      <c r="Q316" s="63">
        <f t="shared" si="15"/>
        <v>110.2</v>
      </c>
      <c r="R316" s="63">
        <f t="shared" si="16"/>
        <v>0</v>
      </c>
      <c r="S316" s="63">
        <f t="shared" si="17"/>
        <v>110.2</v>
      </c>
    </row>
    <row r="317" spans="1:19" s="77" customFormat="1" ht="12" x14ac:dyDescent="0.2">
      <c r="A317" s="68">
        <v>1768</v>
      </c>
      <c r="B317" s="68" t="s">
        <v>7520</v>
      </c>
      <c r="C317" s="88">
        <v>201</v>
      </c>
      <c r="D317" s="72" t="s">
        <v>7559</v>
      </c>
      <c r="E317" s="155" t="s">
        <v>19</v>
      </c>
      <c r="F317" s="74">
        <v>42944</v>
      </c>
      <c r="G317" s="95">
        <f>238+223</f>
        <v>461</v>
      </c>
      <c r="H317" s="63"/>
      <c r="I317" s="63"/>
      <c r="J317" s="63"/>
      <c r="K317" s="133"/>
      <c r="L317" s="63"/>
      <c r="M317" s="63"/>
      <c r="N317" s="63"/>
      <c r="O317" s="63"/>
      <c r="P317" s="63"/>
      <c r="Q317" s="63">
        <f t="shared" si="15"/>
        <v>461</v>
      </c>
      <c r="R317" s="63">
        <f t="shared" si="16"/>
        <v>0</v>
      </c>
      <c r="S317" s="63">
        <f t="shared" si="17"/>
        <v>461</v>
      </c>
    </row>
    <row r="318" spans="1:19" s="77" customFormat="1" ht="12" x14ac:dyDescent="0.2">
      <c r="A318" s="68">
        <v>148339</v>
      </c>
      <c r="B318" s="68" t="s">
        <v>7521</v>
      </c>
      <c r="C318" s="88">
        <v>202</v>
      </c>
      <c r="D318" s="72" t="s">
        <v>7560</v>
      </c>
      <c r="E318" s="155" t="s">
        <v>19</v>
      </c>
      <c r="F318" s="74">
        <v>42944</v>
      </c>
      <c r="G318" s="95">
        <v>103</v>
      </c>
      <c r="H318" s="63"/>
      <c r="I318" s="63"/>
      <c r="J318" s="63"/>
      <c r="K318" s="133"/>
      <c r="L318" s="63"/>
      <c r="M318" s="63"/>
      <c r="N318" s="63"/>
      <c r="O318" s="63"/>
      <c r="P318" s="63"/>
      <c r="Q318" s="63">
        <f t="shared" si="15"/>
        <v>103</v>
      </c>
      <c r="R318" s="63">
        <f t="shared" si="16"/>
        <v>0</v>
      </c>
      <c r="S318" s="63">
        <f t="shared" si="17"/>
        <v>103</v>
      </c>
    </row>
    <row r="319" spans="1:19" s="77" customFormat="1" ht="12" x14ac:dyDescent="0.2">
      <c r="A319" s="68">
        <v>143696</v>
      </c>
      <c r="B319" s="68" t="s">
        <v>7522</v>
      </c>
      <c r="C319" s="88">
        <v>203</v>
      </c>
      <c r="D319" s="72" t="s">
        <v>7561</v>
      </c>
      <c r="E319" s="155" t="s">
        <v>19</v>
      </c>
      <c r="F319" s="74">
        <v>42947</v>
      </c>
      <c r="G319" s="95">
        <f>720.2+960</f>
        <v>1680.2</v>
      </c>
      <c r="H319" s="63"/>
      <c r="I319" s="63">
        <v>3400</v>
      </c>
      <c r="J319" s="63"/>
      <c r="K319" s="133"/>
      <c r="L319" s="63"/>
      <c r="M319" s="63"/>
      <c r="N319" s="63"/>
      <c r="O319" s="63"/>
      <c r="P319" s="63"/>
      <c r="Q319" s="63">
        <f t="shared" si="15"/>
        <v>5080.2</v>
      </c>
      <c r="R319" s="63">
        <f t="shared" si="16"/>
        <v>0</v>
      </c>
      <c r="S319" s="63">
        <f t="shared" si="17"/>
        <v>5080.2</v>
      </c>
    </row>
    <row r="320" spans="1:19" s="77" customFormat="1" ht="12" x14ac:dyDescent="0.2">
      <c r="A320" s="68">
        <v>143582</v>
      </c>
      <c r="B320" s="68" t="s">
        <v>7562</v>
      </c>
      <c r="C320" s="88">
        <v>204</v>
      </c>
      <c r="D320" s="72" t="s">
        <v>7583</v>
      </c>
      <c r="E320" s="155" t="s">
        <v>19</v>
      </c>
      <c r="F320" s="74">
        <v>42948</v>
      </c>
      <c r="G320" s="95">
        <f>240+318.83+113.56+62.66</f>
        <v>735.04999999999984</v>
      </c>
      <c r="H320" s="63"/>
      <c r="I320" s="63"/>
      <c r="J320" s="63"/>
      <c r="K320" s="133"/>
      <c r="L320" s="63"/>
      <c r="M320" s="63"/>
      <c r="N320" s="63"/>
      <c r="O320" s="63"/>
      <c r="P320" s="63"/>
      <c r="Q320" s="63">
        <f t="shared" si="15"/>
        <v>735.04999999999984</v>
      </c>
      <c r="R320" s="63">
        <f t="shared" si="16"/>
        <v>0</v>
      </c>
      <c r="S320" s="63">
        <f t="shared" si="17"/>
        <v>735.04999999999984</v>
      </c>
    </row>
    <row r="321" spans="1:19" s="77" customFormat="1" ht="12" x14ac:dyDescent="0.2">
      <c r="A321" s="68">
        <v>8504</v>
      </c>
      <c r="B321" s="68" t="s">
        <v>7563</v>
      </c>
      <c r="C321" s="88">
        <v>205</v>
      </c>
      <c r="D321" s="72" t="s">
        <v>7584</v>
      </c>
      <c r="E321" s="155" t="s">
        <v>19</v>
      </c>
      <c r="F321" s="74">
        <v>42948</v>
      </c>
      <c r="G321" s="95">
        <v>243</v>
      </c>
      <c r="H321" s="63"/>
      <c r="I321" s="63"/>
      <c r="J321" s="63"/>
      <c r="K321" s="133"/>
      <c r="L321" s="63"/>
      <c r="M321" s="63"/>
      <c r="N321" s="63"/>
      <c r="O321" s="63"/>
      <c r="P321" s="63"/>
      <c r="Q321" s="63">
        <f t="shared" si="15"/>
        <v>243</v>
      </c>
      <c r="R321" s="63">
        <f t="shared" si="16"/>
        <v>0</v>
      </c>
      <c r="S321" s="63">
        <f t="shared" si="17"/>
        <v>243</v>
      </c>
    </row>
    <row r="322" spans="1:19" s="77" customFormat="1" ht="12" x14ac:dyDescent="0.2">
      <c r="A322" s="68">
        <v>146229</v>
      </c>
      <c r="B322" s="68" t="s">
        <v>5618</v>
      </c>
      <c r="C322" s="88">
        <v>206</v>
      </c>
      <c r="D322" s="72" t="s">
        <v>7585</v>
      </c>
      <c r="E322" s="155" t="s">
        <v>19</v>
      </c>
      <c r="F322" s="74">
        <v>42953</v>
      </c>
      <c r="G322" s="95">
        <f>384.5+920.8</f>
        <v>1305.3</v>
      </c>
      <c r="H322" s="63"/>
      <c r="I322" s="63">
        <f>850</f>
        <v>850</v>
      </c>
      <c r="J322" s="63"/>
      <c r="K322" s="133"/>
      <c r="L322" s="63"/>
      <c r="M322" s="63"/>
      <c r="N322" s="63"/>
      <c r="O322" s="63"/>
      <c r="P322" s="63"/>
      <c r="Q322" s="63">
        <f t="shared" si="15"/>
        <v>2155.3000000000002</v>
      </c>
      <c r="R322" s="63">
        <f t="shared" si="16"/>
        <v>0</v>
      </c>
      <c r="S322" s="63">
        <f t="shared" si="17"/>
        <v>2155.3000000000002</v>
      </c>
    </row>
    <row r="323" spans="1:19" s="77" customFormat="1" ht="12" x14ac:dyDescent="0.2">
      <c r="A323" s="68">
        <v>9561</v>
      </c>
      <c r="B323" s="68" t="s">
        <v>7564</v>
      </c>
      <c r="C323" s="88">
        <v>207</v>
      </c>
      <c r="D323" s="72" t="s">
        <v>7586</v>
      </c>
      <c r="E323" s="155" t="s">
        <v>19</v>
      </c>
      <c r="F323" s="74">
        <v>42954</v>
      </c>
      <c r="G323" s="95">
        <v>49.1</v>
      </c>
      <c r="H323" s="63"/>
      <c r="I323" s="63"/>
      <c r="J323" s="63"/>
      <c r="K323" s="133"/>
      <c r="L323" s="63"/>
      <c r="M323" s="63"/>
      <c r="N323" s="63"/>
      <c r="O323" s="63"/>
      <c r="P323" s="63"/>
      <c r="Q323" s="63">
        <f t="shared" si="15"/>
        <v>49.1</v>
      </c>
      <c r="R323" s="63">
        <f t="shared" si="16"/>
        <v>0</v>
      </c>
      <c r="S323" s="63">
        <f t="shared" si="17"/>
        <v>49.1</v>
      </c>
    </row>
    <row r="324" spans="1:19" s="77" customFormat="1" ht="12" x14ac:dyDescent="0.2">
      <c r="A324" s="68">
        <v>9561</v>
      </c>
      <c r="B324" s="68" t="s">
        <v>7564</v>
      </c>
      <c r="C324" s="88">
        <v>207</v>
      </c>
      <c r="D324" s="72" t="s">
        <v>7587</v>
      </c>
      <c r="E324" s="155" t="s">
        <v>19</v>
      </c>
      <c r="F324" s="74">
        <v>42954</v>
      </c>
      <c r="G324" s="95">
        <v>108.2</v>
      </c>
      <c r="H324" s="63"/>
      <c r="I324" s="63"/>
      <c r="J324" s="63"/>
      <c r="K324" s="133"/>
      <c r="L324" s="63"/>
      <c r="M324" s="63"/>
      <c r="N324" s="63"/>
      <c r="O324" s="63"/>
      <c r="P324" s="63"/>
      <c r="Q324" s="63">
        <f t="shared" si="15"/>
        <v>108.2</v>
      </c>
      <c r="R324" s="63">
        <f t="shared" si="16"/>
        <v>0</v>
      </c>
      <c r="S324" s="63">
        <f t="shared" si="17"/>
        <v>108.2</v>
      </c>
    </row>
    <row r="325" spans="1:19" s="77" customFormat="1" ht="12" x14ac:dyDescent="0.2">
      <c r="A325" s="68">
        <v>3555</v>
      </c>
      <c r="B325" s="68" t="s">
        <v>7565</v>
      </c>
      <c r="C325" s="88">
        <v>208</v>
      </c>
      <c r="D325" s="72" t="s">
        <v>7588</v>
      </c>
      <c r="E325" s="155" t="s">
        <v>19</v>
      </c>
      <c r="F325" s="74">
        <v>42955</v>
      </c>
      <c r="G325" s="95">
        <v>48.5</v>
      </c>
      <c r="H325" s="63"/>
      <c r="I325" s="63"/>
      <c r="J325" s="63"/>
      <c r="K325" s="133"/>
      <c r="L325" s="63"/>
      <c r="M325" s="63"/>
      <c r="N325" s="63"/>
      <c r="O325" s="63"/>
      <c r="P325" s="63"/>
      <c r="Q325" s="63">
        <f t="shared" si="15"/>
        <v>48.5</v>
      </c>
      <c r="R325" s="63">
        <f t="shared" si="16"/>
        <v>0</v>
      </c>
      <c r="S325" s="63">
        <f t="shared" si="17"/>
        <v>48.5</v>
      </c>
    </row>
    <row r="326" spans="1:19" s="77" customFormat="1" ht="12" x14ac:dyDescent="0.2">
      <c r="A326" s="68">
        <v>143915</v>
      </c>
      <c r="B326" s="68" t="s">
        <v>7566</v>
      </c>
      <c r="C326" s="88">
        <v>209</v>
      </c>
      <c r="D326" s="72" t="s">
        <v>7589</v>
      </c>
      <c r="E326" s="155" t="s">
        <v>19</v>
      </c>
      <c r="F326" s="74">
        <v>42955</v>
      </c>
      <c r="G326" s="95">
        <f>310.4+300</f>
        <v>610.4</v>
      </c>
      <c r="H326" s="63"/>
      <c r="I326" s="63"/>
      <c r="J326" s="63"/>
      <c r="K326" s="133"/>
      <c r="L326" s="63"/>
      <c r="M326" s="63"/>
      <c r="N326" s="63"/>
      <c r="O326" s="63"/>
      <c r="P326" s="63"/>
      <c r="Q326" s="63">
        <f t="shared" si="15"/>
        <v>610.4</v>
      </c>
      <c r="R326" s="63">
        <f t="shared" si="16"/>
        <v>0</v>
      </c>
      <c r="S326" s="63">
        <f t="shared" si="17"/>
        <v>610.4</v>
      </c>
    </row>
    <row r="327" spans="1:19" s="77" customFormat="1" ht="12" x14ac:dyDescent="0.2">
      <c r="A327" s="68">
        <v>6179</v>
      </c>
      <c r="B327" s="68" t="s">
        <v>7567</v>
      </c>
      <c r="C327" s="88">
        <v>210</v>
      </c>
      <c r="D327" s="72" t="s">
        <v>7590</v>
      </c>
      <c r="E327" s="155" t="s">
        <v>19</v>
      </c>
      <c r="F327" s="74">
        <v>42956</v>
      </c>
      <c r="G327" s="95">
        <f>4345.4+300+350+341.1+41.3+41.3+41.3+67.31</f>
        <v>5527.7100000000009</v>
      </c>
      <c r="H327" s="63"/>
      <c r="I327" s="63"/>
      <c r="J327" s="63"/>
      <c r="K327" s="133"/>
      <c r="L327" s="63"/>
      <c r="M327" s="63"/>
      <c r="N327" s="63"/>
      <c r="O327" s="63"/>
      <c r="P327" s="63"/>
      <c r="Q327" s="63">
        <f t="shared" si="15"/>
        <v>5527.7100000000009</v>
      </c>
      <c r="R327" s="63">
        <f t="shared" si="16"/>
        <v>0</v>
      </c>
      <c r="S327" s="63">
        <f t="shared" si="17"/>
        <v>5527.7100000000009</v>
      </c>
    </row>
    <row r="328" spans="1:19" s="77" customFormat="1" ht="12" x14ac:dyDescent="0.2">
      <c r="A328" s="68">
        <v>6179</v>
      </c>
      <c r="B328" s="68" t="s">
        <v>7567</v>
      </c>
      <c r="C328" s="88">
        <v>210</v>
      </c>
      <c r="D328" s="72" t="s">
        <v>7591</v>
      </c>
      <c r="E328" s="155" t="s">
        <v>19</v>
      </c>
      <c r="F328" s="74">
        <v>42956</v>
      </c>
      <c r="G328" s="95">
        <v>214.732</v>
      </c>
      <c r="H328" s="63"/>
      <c r="I328" s="63"/>
      <c r="J328" s="63"/>
      <c r="K328" s="133"/>
      <c r="L328" s="63"/>
      <c r="M328" s="63"/>
      <c r="N328" s="63"/>
      <c r="O328" s="63"/>
      <c r="P328" s="63"/>
      <c r="Q328" s="63">
        <f t="shared" si="15"/>
        <v>214.732</v>
      </c>
      <c r="R328" s="63">
        <f t="shared" si="16"/>
        <v>0</v>
      </c>
      <c r="S328" s="63">
        <f t="shared" si="17"/>
        <v>214.732</v>
      </c>
    </row>
    <row r="329" spans="1:19" s="77" customFormat="1" ht="12" x14ac:dyDescent="0.2">
      <c r="A329" s="68">
        <v>6179</v>
      </c>
      <c r="B329" s="68" t="s">
        <v>7567</v>
      </c>
      <c r="C329" s="88">
        <v>210</v>
      </c>
      <c r="D329" s="72" t="s">
        <v>7592</v>
      </c>
      <c r="E329" s="155" t="s">
        <v>19</v>
      </c>
      <c r="F329" s="74">
        <v>42956</v>
      </c>
      <c r="G329" s="95">
        <v>127.5</v>
      </c>
      <c r="H329" s="63"/>
      <c r="I329" s="63"/>
      <c r="J329" s="63"/>
      <c r="K329" s="133"/>
      <c r="L329" s="63"/>
      <c r="M329" s="63"/>
      <c r="N329" s="63"/>
      <c r="O329" s="63"/>
      <c r="P329" s="63"/>
      <c r="Q329" s="63">
        <f t="shared" si="15"/>
        <v>127.5</v>
      </c>
      <c r="R329" s="63">
        <f t="shared" si="16"/>
        <v>0</v>
      </c>
      <c r="S329" s="63">
        <f t="shared" si="17"/>
        <v>127.5</v>
      </c>
    </row>
    <row r="330" spans="1:19" s="77" customFormat="1" ht="12" x14ac:dyDescent="0.2">
      <c r="A330" s="68">
        <v>6179</v>
      </c>
      <c r="B330" s="68" t="s">
        <v>7567</v>
      </c>
      <c r="C330" s="88">
        <v>210</v>
      </c>
      <c r="D330" s="72" t="s">
        <v>7593</v>
      </c>
      <c r="E330" s="155" t="s">
        <v>19</v>
      </c>
      <c r="F330" s="74">
        <v>42956</v>
      </c>
      <c r="G330" s="95">
        <f>258.4+3320.1+80.53+36.2+240+41.3+121.8+671.82+10+238+300+300+38</f>
        <v>5656.15</v>
      </c>
      <c r="H330" s="63"/>
      <c r="I330" s="63">
        <v>850</v>
      </c>
      <c r="J330" s="63"/>
      <c r="K330" s="133"/>
      <c r="L330" s="63"/>
      <c r="M330" s="63"/>
      <c r="N330" s="63"/>
      <c r="O330" s="63"/>
      <c r="P330" s="63"/>
      <c r="Q330" s="63">
        <f t="shared" si="15"/>
        <v>6506.15</v>
      </c>
      <c r="R330" s="63">
        <f t="shared" si="16"/>
        <v>0</v>
      </c>
      <c r="S330" s="63">
        <f t="shared" si="17"/>
        <v>6506.15</v>
      </c>
    </row>
    <row r="331" spans="1:19" s="77" customFormat="1" ht="12" x14ac:dyDescent="0.2">
      <c r="A331" s="68">
        <v>6179</v>
      </c>
      <c r="B331" s="68" t="s">
        <v>7567</v>
      </c>
      <c r="C331" s="88">
        <v>210</v>
      </c>
      <c r="D331" s="72" t="s">
        <v>7594</v>
      </c>
      <c r="E331" s="155" t="s">
        <v>19</v>
      </c>
      <c r="F331" s="74">
        <v>42956</v>
      </c>
      <c r="G331" s="95">
        <v>263.39999999999998</v>
      </c>
      <c r="H331" s="63"/>
      <c r="I331" s="63"/>
      <c r="J331" s="63"/>
      <c r="K331" s="133"/>
      <c r="L331" s="63"/>
      <c r="M331" s="63"/>
      <c r="N331" s="63"/>
      <c r="O331" s="63"/>
      <c r="P331" s="63"/>
      <c r="Q331" s="63">
        <f t="shared" si="15"/>
        <v>263.39999999999998</v>
      </c>
      <c r="R331" s="63">
        <f t="shared" si="16"/>
        <v>0</v>
      </c>
      <c r="S331" s="63">
        <f t="shared" si="17"/>
        <v>263.39999999999998</v>
      </c>
    </row>
    <row r="332" spans="1:19" s="77" customFormat="1" ht="12" x14ac:dyDescent="0.2">
      <c r="A332" s="68">
        <v>6179</v>
      </c>
      <c r="B332" s="68" t="s">
        <v>7567</v>
      </c>
      <c r="C332" s="88">
        <v>210</v>
      </c>
      <c r="D332" s="72" t="s">
        <v>7595</v>
      </c>
      <c r="E332" s="155" t="s">
        <v>19</v>
      </c>
      <c r="F332" s="74">
        <v>42956</v>
      </c>
      <c r="G332" s="95">
        <f>271+300</f>
        <v>571</v>
      </c>
      <c r="H332" s="63"/>
      <c r="I332" s="63"/>
      <c r="J332" s="63"/>
      <c r="K332" s="133"/>
      <c r="L332" s="63"/>
      <c r="M332" s="63"/>
      <c r="N332" s="63"/>
      <c r="O332" s="63"/>
      <c r="P332" s="63"/>
      <c r="Q332" s="63">
        <f t="shared" si="15"/>
        <v>571</v>
      </c>
      <c r="R332" s="63">
        <f t="shared" si="16"/>
        <v>0</v>
      </c>
      <c r="S332" s="63">
        <f t="shared" si="17"/>
        <v>571</v>
      </c>
    </row>
    <row r="333" spans="1:19" s="77" customFormat="1" ht="12" x14ac:dyDescent="0.2">
      <c r="A333" s="68">
        <v>6179</v>
      </c>
      <c r="B333" s="68" t="s">
        <v>7567</v>
      </c>
      <c r="C333" s="88">
        <v>210</v>
      </c>
      <c r="D333" s="72" t="s">
        <v>7596</v>
      </c>
      <c r="E333" s="155" t="s">
        <v>19</v>
      </c>
      <c r="F333" s="74">
        <v>42956</v>
      </c>
      <c r="G333" s="95">
        <v>142.5</v>
      </c>
      <c r="H333" s="63"/>
      <c r="I333" s="63"/>
      <c r="J333" s="63"/>
      <c r="K333" s="133"/>
      <c r="L333" s="63"/>
      <c r="M333" s="63"/>
      <c r="N333" s="63"/>
      <c r="O333" s="63"/>
      <c r="P333" s="63"/>
      <c r="Q333" s="63">
        <f t="shared" si="15"/>
        <v>142.5</v>
      </c>
      <c r="R333" s="63">
        <f t="shared" si="16"/>
        <v>0</v>
      </c>
      <c r="S333" s="63">
        <f t="shared" si="17"/>
        <v>142.5</v>
      </c>
    </row>
    <row r="334" spans="1:19" s="77" customFormat="1" ht="12" x14ac:dyDescent="0.2">
      <c r="A334" s="68">
        <v>6179</v>
      </c>
      <c r="B334" s="68" t="s">
        <v>7567</v>
      </c>
      <c r="C334" s="88">
        <v>210</v>
      </c>
      <c r="D334" s="72" t="s">
        <v>7597</v>
      </c>
      <c r="E334" s="155" t="s">
        <v>19</v>
      </c>
      <c r="F334" s="74">
        <v>42956</v>
      </c>
      <c r="G334" s="95">
        <v>194.5</v>
      </c>
      <c r="H334" s="63"/>
      <c r="I334" s="63"/>
      <c r="J334" s="63"/>
      <c r="K334" s="133"/>
      <c r="L334" s="63"/>
      <c r="M334" s="63"/>
      <c r="N334" s="63"/>
      <c r="O334" s="63"/>
      <c r="P334" s="63"/>
      <c r="Q334" s="63">
        <f t="shared" si="15"/>
        <v>194.5</v>
      </c>
      <c r="R334" s="63">
        <f t="shared" si="16"/>
        <v>0</v>
      </c>
      <c r="S334" s="63">
        <f t="shared" si="17"/>
        <v>194.5</v>
      </c>
    </row>
    <row r="335" spans="1:19" s="77" customFormat="1" ht="12" x14ac:dyDescent="0.2">
      <c r="A335" s="68">
        <v>6179</v>
      </c>
      <c r="B335" s="68" t="s">
        <v>7567</v>
      </c>
      <c r="C335" s="88">
        <v>210</v>
      </c>
      <c r="D335" s="72" t="s">
        <v>7598</v>
      </c>
      <c r="E335" s="155" t="s">
        <v>19</v>
      </c>
      <c r="F335" s="74">
        <v>42956</v>
      </c>
      <c r="G335" s="95">
        <f>425.2+1068</f>
        <v>1493.2</v>
      </c>
      <c r="H335" s="63"/>
      <c r="I335" s="63"/>
      <c r="J335" s="63"/>
      <c r="K335" s="133"/>
      <c r="L335" s="63"/>
      <c r="M335" s="63"/>
      <c r="N335" s="63"/>
      <c r="O335" s="63"/>
      <c r="P335" s="63"/>
      <c r="Q335" s="63">
        <f t="shared" ref="Q335:Q399" si="18">+G335+I335+K335+M335+O335</f>
        <v>1493.2</v>
      </c>
      <c r="R335" s="63">
        <f t="shared" ref="R335:R399" si="19">+H335+J335+L335+N335+P335</f>
        <v>0</v>
      </c>
      <c r="S335" s="63">
        <f t="shared" ref="S335:S399" si="20">+Q335+R335</f>
        <v>1493.2</v>
      </c>
    </row>
    <row r="336" spans="1:19" s="77" customFormat="1" ht="12" x14ac:dyDescent="0.2">
      <c r="A336" s="68">
        <v>6179</v>
      </c>
      <c r="B336" s="68" t="s">
        <v>7567</v>
      </c>
      <c r="C336" s="88">
        <v>210</v>
      </c>
      <c r="D336" s="72" t="s">
        <v>7599</v>
      </c>
      <c r="E336" s="155" t="s">
        <v>19</v>
      </c>
      <c r="F336" s="74">
        <v>42956</v>
      </c>
      <c r="G336" s="95">
        <f>415+168.7+168.92+163.35+163.35+168.7+168.7+238+135.48+457.93+100.84+95.16</f>
        <v>2444.13</v>
      </c>
      <c r="H336" s="63"/>
      <c r="I336" s="63">
        <f>3428.33</f>
        <v>3428.33</v>
      </c>
      <c r="J336" s="63"/>
      <c r="K336" s="133"/>
      <c r="L336" s="63"/>
      <c r="M336" s="63"/>
      <c r="N336" s="63"/>
      <c r="O336" s="63"/>
      <c r="P336" s="63"/>
      <c r="Q336" s="63">
        <f t="shared" si="18"/>
        <v>5872.46</v>
      </c>
      <c r="R336" s="63">
        <f t="shared" si="19"/>
        <v>0</v>
      </c>
      <c r="S336" s="63">
        <f t="shared" si="20"/>
        <v>5872.46</v>
      </c>
    </row>
    <row r="337" spans="1:19" s="77" customFormat="1" ht="12" x14ac:dyDescent="0.2">
      <c r="A337" s="68">
        <v>6179</v>
      </c>
      <c r="B337" s="68" t="s">
        <v>7567</v>
      </c>
      <c r="C337" s="88">
        <v>210</v>
      </c>
      <c r="D337" s="72" t="s">
        <v>7600</v>
      </c>
      <c r="E337" s="155" t="s">
        <v>19</v>
      </c>
      <c r="F337" s="74">
        <v>42956</v>
      </c>
      <c r="G337" s="95">
        <v>292.7</v>
      </c>
      <c r="H337" s="63"/>
      <c r="I337" s="63"/>
      <c r="J337" s="63"/>
      <c r="K337" s="133"/>
      <c r="L337" s="63"/>
      <c r="M337" s="63"/>
      <c r="N337" s="63"/>
      <c r="O337" s="63"/>
      <c r="P337" s="63"/>
      <c r="Q337" s="63">
        <f t="shared" si="18"/>
        <v>292.7</v>
      </c>
      <c r="R337" s="63">
        <f t="shared" si="19"/>
        <v>0</v>
      </c>
      <c r="S337" s="63">
        <f t="shared" si="20"/>
        <v>292.7</v>
      </c>
    </row>
    <row r="338" spans="1:19" s="77" customFormat="1" ht="12" x14ac:dyDescent="0.2">
      <c r="A338" s="68">
        <v>6179</v>
      </c>
      <c r="B338" s="68" t="s">
        <v>7567</v>
      </c>
      <c r="C338" s="88">
        <v>210</v>
      </c>
      <c r="D338" s="72" t="s">
        <v>7601</v>
      </c>
      <c r="E338" s="155" t="s">
        <v>19</v>
      </c>
      <c r="F338" s="74">
        <v>42956</v>
      </c>
      <c r="G338" s="95">
        <v>99.5</v>
      </c>
      <c r="H338" s="63"/>
      <c r="I338" s="63"/>
      <c r="J338" s="63"/>
      <c r="K338" s="133"/>
      <c r="L338" s="63"/>
      <c r="M338" s="63"/>
      <c r="N338" s="63"/>
      <c r="O338" s="63"/>
      <c r="P338" s="63"/>
      <c r="Q338" s="63">
        <f t="shared" si="18"/>
        <v>99.5</v>
      </c>
      <c r="R338" s="63">
        <f t="shared" si="19"/>
        <v>0</v>
      </c>
      <c r="S338" s="63">
        <f t="shared" si="20"/>
        <v>99.5</v>
      </c>
    </row>
    <row r="339" spans="1:19" s="77" customFormat="1" ht="12" x14ac:dyDescent="0.2">
      <c r="A339" s="68">
        <v>6179</v>
      </c>
      <c r="B339" s="68" t="s">
        <v>7567</v>
      </c>
      <c r="C339" s="88">
        <v>210</v>
      </c>
      <c r="D339" s="72" t="s">
        <v>7602</v>
      </c>
      <c r="E339" s="155" t="s">
        <v>19</v>
      </c>
      <c r="F339" s="74">
        <v>42956</v>
      </c>
      <c r="G339" s="95">
        <f>1335.5+71.65+122.05+71.65+279.78+41.3+652.86+71.65+35+3787.1+71.65+62.13+102+335</f>
        <v>7039.32</v>
      </c>
      <c r="H339" s="63"/>
      <c r="I339" s="63">
        <v>4050</v>
      </c>
      <c r="J339" s="63"/>
      <c r="K339" s="133"/>
      <c r="L339" s="63"/>
      <c r="M339" s="63"/>
      <c r="N339" s="63"/>
      <c r="O339" s="63"/>
      <c r="P339" s="63"/>
      <c r="Q339" s="63">
        <f t="shared" si="18"/>
        <v>11089.32</v>
      </c>
      <c r="R339" s="63">
        <f t="shared" si="19"/>
        <v>0</v>
      </c>
      <c r="S339" s="63">
        <f t="shared" si="20"/>
        <v>11089.32</v>
      </c>
    </row>
    <row r="340" spans="1:19" s="77" customFormat="1" ht="12" x14ac:dyDescent="0.2">
      <c r="A340" s="85">
        <v>6179</v>
      </c>
      <c r="B340" s="68" t="s">
        <v>7567</v>
      </c>
      <c r="C340" s="88">
        <v>210</v>
      </c>
      <c r="D340" s="72" t="s">
        <v>7603</v>
      </c>
      <c r="E340" s="155" t="s">
        <v>19</v>
      </c>
      <c r="F340" s="74">
        <v>42956</v>
      </c>
      <c r="G340" s="95">
        <f>168.4+238</f>
        <v>406.4</v>
      </c>
      <c r="H340" s="63"/>
      <c r="I340" s="63"/>
      <c r="J340" s="63"/>
      <c r="K340" s="133"/>
      <c r="L340" s="63"/>
      <c r="M340" s="63"/>
      <c r="N340" s="63"/>
      <c r="O340" s="63"/>
      <c r="P340" s="63"/>
      <c r="Q340" s="63">
        <f t="shared" si="18"/>
        <v>406.4</v>
      </c>
      <c r="R340" s="63">
        <f t="shared" si="19"/>
        <v>0</v>
      </c>
      <c r="S340" s="63">
        <f t="shared" si="20"/>
        <v>406.4</v>
      </c>
    </row>
    <row r="341" spans="1:19" s="77" customFormat="1" ht="12" x14ac:dyDescent="0.2">
      <c r="A341" s="85">
        <v>6179</v>
      </c>
      <c r="B341" s="68" t="s">
        <v>7567</v>
      </c>
      <c r="C341" s="88">
        <v>210</v>
      </c>
      <c r="D341" s="72" t="s">
        <v>7604</v>
      </c>
      <c r="E341" s="155" t="s">
        <v>19</v>
      </c>
      <c r="F341" s="74">
        <v>42956</v>
      </c>
      <c r="G341" s="95">
        <f>364.8+1500</f>
        <v>1864.8</v>
      </c>
      <c r="H341" s="63"/>
      <c r="I341" s="63"/>
      <c r="J341" s="63"/>
      <c r="K341" s="133"/>
      <c r="L341" s="63"/>
      <c r="M341" s="63"/>
      <c r="N341" s="63"/>
      <c r="O341" s="63"/>
      <c r="P341" s="63"/>
      <c r="Q341" s="63">
        <f t="shared" si="18"/>
        <v>1864.8</v>
      </c>
      <c r="R341" s="63">
        <f t="shared" si="19"/>
        <v>0</v>
      </c>
      <c r="S341" s="63">
        <f t="shared" si="20"/>
        <v>1864.8</v>
      </c>
    </row>
    <row r="342" spans="1:19" s="77" customFormat="1" ht="12" x14ac:dyDescent="0.2">
      <c r="A342" s="85">
        <v>6179</v>
      </c>
      <c r="B342" s="68" t="s">
        <v>7567</v>
      </c>
      <c r="C342" s="88">
        <v>210</v>
      </c>
      <c r="D342" s="72" t="s">
        <v>7605</v>
      </c>
      <c r="E342" s="155" t="s">
        <v>19</v>
      </c>
      <c r="F342" s="74">
        <v>42956</v>
      </c>
      <c r="G342" s="95">
        <f>558+240+770+10200+400+5363.1+2136.69+466.2</f>
        <v>20133.989999999998</v>
      </c>
      <c r="H342" s="63"/>
      <c r="I342" s="63">
        <f>850+3200</f>
        <v>4050</v>
      </c>
      <c r="J342" s="63"/>
      <c r="K342" s="133"/>
      <c r="L342" s="63"/>
      <c r="M342" s="63"/>
      <c r="N342" s="63"/>
      <c r="O342" s="63"/>
      <c r="P342" s="63"/>
      <c r="Q342" s="63">
        <f t="shared" si="18"/>
        <v>24183.989999999998</v>
      </c>
      <c r="R342" s="63">
        <f t="shared" si="19"/>
        <v>0</v>
      </c>
      <c r="S342" s="63">
        <f t="shared" si="20"/>
        <v>24183.989999999998</v>
      </c>
    </row>
    <row r="343" spans="1:19" s="77" customFormat="1" ht="12" x14ac:dyDescent="0.2">
      <c r="A343" s="85">
        <v>6179</v>
      </c>
      <c r="B343" s="68" t="s">
        <v>7567</v>
      </c>
      <c r="C343" s="88">
        <v>210</v>
      </c>
      <c r="D343" s="72" t="s">
        <v>7606</v>
      </c>
      <c r="E343" s="155" t="s">
        <v>19</v>
      </c>
      <c r="F343" s="74">
        <v>42956</v>
      </c>
      <c r="G343" s="95">
        <f>1.42+244.26</f>
        <v>245.67999999999998</v>
      </c>
      <c r="H343" s="63"/>
      <c r="I343" s="63"/>
      <c r="J343" s="63"/>
      <c r="K343" s="133"/>
      <c r="L343" s="63"/>
      <c r="M343" s="63"/>
      <c r="N343" s="63"/>
      <c r="O343" s="63"/>
      <c r="P343" s="63"/>
      <c r="Q343" s="63">
        <f t="shared" si="18"/>
        <v>245.67999999999998</v>
      </c>
      <c r="R343" s="63">
        <f t="shared" si="19"/>
        <v>0</v>
      </c>
      <c r="S343" s="63">
        <f t="shared" si="20"/>
        <v>245.67999999999998</v>
      </c>
    </row>
    <row r="344" spans="1:19" s="77" customFormat="1" ht="12" x14ac:dyDescent="0.2">
      <c r="A344" s="85">
        <v>6179</v>
      </c>
      <c r="B344" s="68" t="s">
        <v>7567</v>
      </c>
      <c r="C344" s="88">
        <v>210</v>
      </c>
      <c r="D344" s="72" t="s">
        <v>7607</v>
      </c>
      <c r="E344" s="155" t="s">
        <v>19</v>
      </c>
      <c r="F344" s="74">
        <v>42956</v>
      </c>
      <c r="G344" s="95">
        <f>126.59+1672.13+77.65+41.3+41.3+41.3+41.3+41.3+41.3+41.3+41.3+2873.93+52.86+324.5</f>
        <v>5458.06</v>
      </c>
      <c r="H344" s="63"/>
      <c r="I344" s="63"/>
      <c r="J344" s="63"/>
      <c r="K344" s="133"/>
      <c r="L344" s="63"/>
      <c r="M344" s="63"/>
      <c r="N344" s="63"/>
      <c r="O344" s="63"/>
      <c r="P344" s="63"/>
      <c r="Q344" s="63">
        <f t="shared" si="18"/>
        <v>5458.06</v>
      </c>
      <c r="R344" s="63">
        <f t="shared" si="19"/>
        <v>0</v>
      </c>
      <c r="S344" s="63">
        <f t="shared" si="20"/>
        <v>5458.06</v>
      </c>
    </row>
    <row r="345" spans="1:19" s="77" customFormat="1" ht="12" x14ac:dyDescent="0.2">
      <c r="A345" s="85">
        <v>6179</v>
      </c>
      <c r="B345" s="68" t="s">
        <v>7567</v>
      </c>
      <c r="C345" s="88">
        <v>210</v>
      </c>
      <c r="D345" s="72" t="s">
        <v>7608</v>
      </c>
      <c r="E345" s="155" t="s">
        <v>19</v>
      </c>
      <c r="F345" s="74">
        <v>42956</v>
      </c>
      <c r="G345" s="95">
        <f>41.3+41.3+41.3</f>
        <v>123.89999999999999</v>
      </c>
      <c r="H345" s="63"/>
      <c r="I345" s="63"/>
      <c r="J345" s="63"/>
      <c r="K345" s="133"/>
      <c r="L345" s="63"/>
      <c r="M345" s="63"/>
      <c r="N345" s="63"/>
      <c r="O345" s="63"/>
      <c r="P345" s="63"/>
      <c r="Q345" s="63">
        <f t="shared" si="18"/>
        <v>123.89999999999999</v>
      </c>
      <c r="R345" s="63">
        <f t="shared" si="19"/>
        <v>0</v>
      </c>
      <c r="S345" s="63">
        <f t="shared" si="20"/>
        <v>123.89999999999999</v>
      </c>
    </row>
    <row r="346" spans="1:19" s="77" customFormat="1" ht="12" x14ac:dyDescent="0.2">
      <c r="A346" s="85">
        <v>6179</v>
      </c>
      <c r="B346" s="68" t="s">
        <v>7567</v>
      </c>
      <c r="C346" s="88">
        <v>210</v>
      </c>
      <c r="D346" s="72" t="s">
        <v>7609</v>
      </c>
      <c r="E346" s="155" t="s">
        <v>19</v>
      </c>
      <c r="F346" s="74">
        <v>42956</v>
      </c>
      <c r="G346" s="95">
        <f>41.3+122.81</f>
        <v>164.11</v>
      </c>
      <c r="H346" s="63"/>
      <c r="I346" s="63"/>
      <c r="J346" s="63"/>
      <c r="K346" s="133"/>
      <c r="L346" s="63"/>
      <c r="M346" s="63"/>
      <c r="N346" s="63"/>
      <c r="O346" s="63"/>
      <c r="P346" s="63"/>
      <c r="Q346" s="63">
        <f t="shared" si="18"/>
        <v>164.11</v>
      </c>
      <c r="R346" s="63">
        <f t="shared" si="19"/>
        <v>0</v>
      </c>
      <c r="S346" s="63">
        <f t="shared" si="20"/>
        <v>164.11</v>
      </c>
    </row>
    <row r="347" spans="1:19" s="77" customFormat="1" ht="12" x14ac:dyDescent="0.2">
      <c r="A347" s="85">
        <v>6179</v>
      </c>
      <c r="B347" s="68" t="s">
        <v>7567</v>
      </c>
      <c r="C347" s="88">
        <v>210</v>
      </c>
      <c r="D347" s="72" t="s">
        <v>7919</v>
      </c>
      <c r="E347" s="155" t="s">
        <v>19</v>
      </c>
      <c r="F347" s="74">
        <v>42956</v>
      </c>
      <c r="G347" s="95">
        <f>4147.89+41.3+43.65+41.3+41.3+991.55+41.3+630</f>
        <v>5978.2900000000009</v>
      </c>
      <c r="H347" s="63"/>
      <c r="I347" s="63">
        <v>4050</v>
      </c>
      <c r="J347" s="63"/>
      <c r="K347" s="133"/>
      <c r="L347" s="63"/>
      <c r="M347" s="63"/>
      <c r="N347" s="63"/>
      <c r="O347" s="63"/>
      <c r="P347" s="63"/>
      <c r="Q347" s="63"/>
      <c r="R347" s="63"/>
      <c r="S347" s="63"/>
    </row>
    <row r="348" spans="1:19" s="77" customFormat="1" ht="12" x14ac:dyDescent="0.2">
      <c r="A348" s="85">
        <v>3919</v>
      </c>
      <c r="B348" s="68" t="s">
        <v>7568</v>
      </c>
      <c r="C348" s="88">
        <v>211</v>
      </c>
      <c r="D348" s="72" t="s">
        <v>7610</v>
      </c>
      <c r="E348" s="155" t="s">
        <v>19</v>
      </c>
      <c r="F348" s="74">
        <v>42958</v>
      </c>
      <c r="G348" s="95">
        <v>190.2</v>
      </c>
      <c r="H348" s="63"/>
      <c r="I348" s="63"/>
      <c r="J348" s="63"/>
      <c r="K348" s="133"/>
      <c r="L348" s="63"/>
      <c r="M348" s="63"/>
      <c r="N348" s="63"/>
      <c r="O348" s="63"/>
      <c r="P348" s="63"/>
      <c r="Q348" s="63">
        <f t="shared" si="18"/>
        <v>190.2</v>
      </c>
      <c r="R348" s="63">
        <f t="shared" si="19"/>
        <v>0</v>
      </c>
      <c r="S348" s="63">
        <f t="shared" si="20"/>
        <v>190.2</v>
      </c>
    </row>
    <row r="349" spans="1:19" s="77" customFormat="1" ht="12" x14ac:dyDescent="0.2">
      <c r="A349" s="85">
        <v>148149</v>
      </c>
      <c r="B349" s="68" t="s">
        <v>7569</v>
      </c>
      <c r="C349" s="88">
        <v>212</v>
      </c>
      <c r="D349" s="72" t="s">
        <v>7611</v>
      </c>
      <c r="E349" s="155" t="s">
        <v>19</v>
      </c>
      <c r="F349" s="74">
        <v>42959</v>
      </c>
      <c r="G349" s="95">
        <v>96.2</v>
      </c>
      <c r="H349" s="63"/>
      <c r="I349" s="63"/>
      <c r="J349" s="63"/>
      <c r="K349" s="133"/>
      <c r="L349" s="63"/>
      <c r="M349" s="63"/>
      <c r="N349" s="63"/>
      <c r="O349" s="63"/>
      <c r="P349" s="63"/>
      <c r="Q349" s="63">
        <f t="shared" si="18"/>
        <v>96.2</v>
      </c>
      <c r="R349" s="63">
        <f t="shared" si="19"/>
        <v>0</v>
      </c>
      <c r="S349" s="63">
        <f t="shared" si="20"/>
        <v>96.2</v>
      </c>
    </row>
    <row r="350" spans="1:19" s="77" customFormat="1" ht="12" x14ac:dyDescent="0.2">
      <c r="A350" s="85">
        <v>143635</v>
      </c>
      <c r="B350" s="68" t="s">
        <v>7570</v>
      </c>
      <c r="C350" s="88">
        <v>213</v>
      </c>
      <c r="D350" s="72" t="s">
        <v>7612</v>
      </c>
      <c r="E350" s="155" t="s">
        <v>19</v>
      </c>
      <c r="F350" s="74">
        <v>42961</v>
      </c>
      <c r="G350" s="95"/>
      <c r="H350" s="63"/>
      <c r="I350" s="63"/>
      <c r="J350" s="63"/>
      <c r="K350" s="133"/>
      <c r="L350" s="63"/>
      <c r="M350" s="63"/>
      <c r="N350" s="63"/>
      <c r="O350" s="63"/>
      <c r="P350" s="63"/>
      <c r="Q350" s="63">
        <f t="shared" si="18"/>
        <v>0</v>
      </c>
      <c r="R350" s="63">
        <f t="shared" si="19"/>
        <v>0</v>
      </c>
      <c r="S350" s="63">
        <f t="shared" si="20"/>
        <v>0</v>
      </c>
    </row>
    <row r="351" spans="1:19" s="77" customFormat="1" ht="12" x14ac:dyDescent="0.2">
      <c r="A351" s="85">
        <v>143635</v>
      </c>
      <c r="B351" s="68" t="s">
        <v>7570</v>
      </c>
      <c r="C351" s="88">
        <v>213</v>
      </c>
      <c r="D351" s="72" t="s">
        <v>7613</v>
      </c>
      <c r="E351" s="155" t="s">
        <v>19</v>
      </c>
      <c r="F351" s="74">
        <v>42961</v>
      </c>
      <c r="G351" s="95">
        <v>107.3</v>
      </c>
      <c r="H351" s="63"/>
      <c r="I351" s="63"/>
      <c r="J351" s="63"/>
      <c r="K351" s="133"/>
      <c r="L351" s="63"/>
      <c r="M351" s="63"/>
      <c r="N351" s="63"/>
      <c r="O351" s="63"/>
      <c r="P351" s="63"/>
      <c r="Q351" s="63">
        <f t="shared" si="18"/>
        <v>107.3</v>
      </c>
      <c r="R351" s="63">
        <f t="shared" si="19"/>
        <v>0</v>
      </c>
      <c r="S351" s="63">
        <f t="shared" si="20"/>
        <v>107.3</v>
      </c>
    </row>
    <row r="352" spans="1:19" s="77" customFormat="1" ht="12" x14ac:dyDescent="0.2">
      <c r="A352" s="85">
        <v>5914</v>
      </c>
      <c r="B352" s="68" t="s">
        <v>7571</v>
      </c>
      <c r="C352" s="88">
        <v>214</v>
      </c>
      <c r="D352" s="72" t="s">
        <v>7614</v>
      </c>
      <c r="E352" s="155" t="s">
        <v>19</v>
      </c>
      <c r="F352" s="74">
        <v>42961</v>
      </c>
      <c r="G352" s="95">
        <v>152.4</v>
      </c>
      <c r="H352" s="63"/>
      <c r="I352" s="63"/>
      <c r="J352" s="63"/>
      <c r="K352" s="133"/>
      <c r="L352" s="63"/>
      <c r="M352" s="63"/>
      <c r="N352" s="63"/>
      <c r="O352" s="63"/>
      <c r="P352" s="63"/>
      <c r="Q352" s="63">
        <f t="shared" si="18"/>
        <v>152.4</v>
      </c>
      <c r="R352" s="63">
        <f t="shared" si="19"/>
        <v>0</v>
      </c>
      <c r="S352" s="63">
        <f t="shared" si="20"/>
        <v>152.4</v>
      </c>
    </row>
    <row r="353" spans="1:19" s="77" customFormat="1" ht="12" x14ac:dyDescent="0.2">
      <c r="A353" s="85">
        <v>4231</v>
      </c>
      <c r="B353" s="68" t="s">
        <v>7572</v>
      </c>
      <c r="C353" s="88">
        <v>215</v>
      </c>
      <c r="D353" s="72" t="s">
        <v>7615</v>
      </c>
      <c r="E353" s="155" t="s">
        <v>19</v>
      </c>
      <c r="F353" s="74">
        <v>42962</v>
      </c>
      <c r="G353" s="95">
        <f>347.02</f>
        <v>347.02</v>
      </c>
      <c r="H353" s="63"/>
      <c r="I353" s="63"/>
      <c r="J353" s="63"/>
      <c r="K353" s="133"/>
      <c r="L353" s="63"/>
      <c r="M353" s="63"/>
      <c r="N353" s="63"/>
      <c r="O353" s="63"/>
      <c r="P353" s="63"/>
      <c r="Q353" s="63">
        <f t="shared" si="18"/>
        <v>347.02</v>
      </c>
      <c r="R353" s="63">
        <f t="shared" si="19"/>
        <v>0</v>
      </c>
      <c r="S353" s="63">
        <f t="shared" si="20"/>
        <v>347.02</v>
      </c>
    </row>
    <row r="354" spans="1:19" s="77" customFormat="1" ht="12" x14ac:dyDescent="0.2">
      <c r="A354" s="85">
        <v>6237</v>
      </c>
      <c r="B354" s="68" t="s">
        <v>4873</v>
      </c>
      <c r="C354" s="88">
        <v>216</v>
      </c>
      <c r="D354" s="72" t="s">
        <v>7616</v>
      </c>
      <c r="E354" s="155" t="s">
        <v>19</v>
      </c>
      <c r="F354" s="74">
        <v>42963</v>
      </c>
      <c r="G354" s="95">
        <f>180</f>
        <v>180</v>
      </c>
      <c r="H354" s="63"/>
      <c r="I354" s="63"/>
      <c r="J354" s="63"/>
      <c r="K354" s="133"/>
      <c r="L354" s="63"/>
      <c r="M354" s="63"/>
      <c r="N354" s="63"/>
      <c r="O354" s="63"/>
      <c r="P354" s="63"/>
      <c r="Q354" s="63">
        <f t="shared" si="18"/>
        <v>180</v>
      </c>
      <c r="R354" s="63">
        <f t="shared" si="19"/>
        <v>0</v>
      </c>
      <c r="S354" s="63">
        <f t="shared" si="20"/>
        <v>180</v>
      </c>
    </row>
    <row r="355" spans="1:19" s="77" customFormat="1" ht="12" x14ac:dyDescent="0.2">
      <c r="A355" s="85">
        <v>11009</v>
      </c>
      <c r="B355" s="68" t="s">
        <v>7573</v>
      </c>
      <c r="C355" s="88">
        <v>217</v>
      </c>
      <c r="D355" s="72" t="s">
        <v>7617</v>
      </c>
      <c r="E355" s="155" t="s">
        <v>7631</v>
      </c>
      <c r="F355" s="74">
        <v>42934</v>
      </c>
      <c r="G355" s="95">
        <f>104.5+75</f>
        <v>179.5</v>
      </c>
      <c r="H355" s="63"/>
      <c r="I355" s="63"/>
      <c r="J355" s="63"/>
      <c r="K355" s="133"/>
      <c r="L355" s="63"/>
      <c r="M355" s="63"/>
      <c r="N355" s="63"/>
      <c r="O355" s="63"/>
      <c r="P355" s="63"/>
      <c r="Q355" s="63">
        <f t="shared" si="18"/>
        <v>179.5</v>
      </c>
      <c r="R355" s="63">
        <f t="shared" si="19"/>
        <v>0</v>
      </c>
      <c r="S355" s="63">
        <f t="shared" si="20"/>
        <v>179.5</v>
      </c>
    </row>
    <row r="356" spans="1:19" s="77" customFormat="1" ht="12" x14ac:dyDescent="0.2">
      <c r="A356" s="85">
        <v>143045</v>
      </c>
      <c r="B356" s="68" t="s">
        <v>7574</v>
      </c>
      <c r="C356" s="88">
        <v>218</v>
      </c>
      <c r="D356" s="72" t="s">
        <v>7618</v>
      </c>
      <c r="E356" s="155" t="s">
        <v>19</v>
      </c>
      <c r="F356" s="74">
        <v>42967</v>
      </c>
      <c r="G356" s="95">
        <v>40</v>
      </c>
      <c r="H356" s="63"/>
      <c r="I356" s="63"/>
      <c r="J356" s="63"/>
      <c r="K356" s="133"/>
      <c r="L356" s="63"/>
      <c r="M356" s="63"/>
      <c r="N356" s="63"/>
      <c r="O356" s="63"/>
      <c r="P356" s="63"/>
      <c r="Q356" s="63">
        <f t="shared" si="18"/>
        <v>40</v>
      </c>
      <c r="R356" s="63">
        <f t="shared" si="19"/>
        <v>0</v>
      </c>
      <c r="S356" s="63">
        <f t="shared" si="20"/>
        <v>40</v>
      </c>
    </row>
    <row r="357" spans="1:19" s="77" customFormat="1" ht="12" x14ac:dyDescent="0.2">
      <c r="A357" s="85">
        <v>596</v>
      </c>
      <c r="B357" s="68" t="s">
        <v>7575</v>
      </c>
      <c r="C357" s="88">
        <v>219</v>
      </c>
      <c r="D357" s="72" t="s">
        <v>7619</v>
      </c>
      <c r="E357" s="155" t="s">
        <v>19</v>
      </c>
      <c r="F357" s="74">
        <v>42967</v>
      </c>
      <c r="G357" s="95">
        <f>1110</f>
        <v>1110</v>
      </c>
      <c r="H357" s="63"/>
      <c r="I357" s="63"/>
      <c r="J357" s="63"/>
      <c r="K357" s="133"/>
      <c r="L357" s="63"/>
      <c r="M357" s="63"/>
      <c r="N357" s="63"/>
      <c r="O357" s="63"/>
      <c r="P357" s="63"/>
      <c r="Q357" s="63">
        <f t="shared" si="18"/>
        <v>1110</v>
      </c>
      <c r="R357" s="63">
        <f t="shared" si="19"/>
        <v>0</v>
      </c>
      <c r="S357" s="63">
        <f t="shared" si="20"/>
        <v>1110</v>
      </c>
    </row>
    <row r="358" spans="1:19" s="77" customFormat="1" ht="12" x14ac:dyDescent="0.2">
      <c r="A358" s="85">
        <v>2670</v>
      </c>
      <c r="B358" s="68" t="s">
        <v>7576</v>
      </c>
      <c r="C358" s="88">
        <v>220</v>
      </c>
      <c r="D358" s="72" t="s">
        <v>7620</v>
      </c>
      <c r="E358" s="155" t="s">
        <v>19</v>
      </c>
      <c r="F358" s="74">
        <v>42968</v>
      </c>
      <c r="G358" s="95">
        <v>215.5</v>
      </c>
      <c r="H358" s="63"/>
      <c r="I358" s="63"/>
      <c r="J358" s="63"/>
      <c r="K358" s="133"/>
      <c r="L358" s="63"/>
      <c r="M358" s="63"/>
      <c r="N358" s="63"/>
      <c r="O358" s="63"/>
      <c r="P358" s="63"/>
      <c r="Q358" s="63">
        <f t="shared" si="18"/>
        <v>215.5</v>
      </c>
      <c r="R358" s="63">
        <f t="shared" si="19"/>
        <v>0</v>
      </c>
      <c r="S358" s="63">
        <f t="shared" si="20"/>
        <v>215.5</v>
      </c>
    </row>
    <row r="359" spans="1:19" s="77" customFormat="1" ht="12" x14ac:dyDescent="0.2">
      <c r="A359" s="85">
        <v>6348</v>
      </c>
      <c r="B359" s="68" t="s">
        <v>7577</v>
      </c>
      <c r="C359" s="88">
        <v>221</v>
      </c>
      <c r="D359" s="72" t="s">
        <v>7621</v>
      </c>
      <c r="E359" s="155" t="s">
        <v>19</v>
      </c>
      <c r="F359" s="74">
        <v>42970</v>
      </c>
      <c r="G359" s="95">
        <f>19967.9</f>
        <v>19967.900000000001</v>
      </c>
      <c r="H359" s="63"/>
      <c r="I359" s="63">
        <v>1860</v>
      </c>
      <c r="J359" s="63"/>
      <c r="K359" s="133"/>
      <c r="L359" s="63"/>
      <c r="M359" s="63"/>
      <c r="N359" s="63"/>
      <c r="O359" s="63"/>
      <c r="P359" s="63"/>
      <c r="Q359" s="63">
        <f t="shared" si="18"/>
        <v>21827.9</v>
      </c>
      <c r="R359" s="63">
        <f t="shared" si="19"/>
        <v>0</v>
      </c>
      <c r="S359" s="63">
        <f t="shared" si="20"/>
        <v>21827.9</v>
      </c>
    </row>
    <row r="360" spans="1:19" s="77" customFormat="1" ht="12" x14ac:dyDescent="0.2">
      <c r="A360" s="85">
        <v>144624</v>
      </c>
      <c r="B360" s="68" t="s">
        <v>7578</v>
      </c>
      <c r="C360" s="88">
        <v>222</v>
      </c>
      <c r="D360" s="72" t="s">
        <v>7622</v>
      </c>
      <c r="E360" s="155" t="s">
        <v>19</v>
      </c>
      <c r="F360" s="74">
        <v>42971</v>
      </c>
      <c r="G360" s="95">
        <f>41.3+251.62+405.55+194.81+194.81+478.28+162.16+75</f>
        <v>1803.53</v>
      </c>
      <c r="H360" s="63"/>
      <c r="I360" s="63"/>
      <c r="J360" s="63"/>
      <c r="K360" s="133"/>
      <c r="L360" s="63"/>
      <c r="M360" s="63"/>
      <c r="N360" s="63"/>
      <c r="O360" s="63"/>
      <c r="P360" s="63"/>
      <c r="Q360" s="63">
        <f t="shared" si="18"/>
        <v>1803.53</v>
      </c>
      <c r="R360" s="63">
        <f t="shared" si="19"/>
        <v>0</v>
      </c>
      <c r="S360" s="63">
        <f t="shared" si="20"/>
        <v>1803.53</v>
      </c>
    </row>
    <row r="361" spans="1:19" s="77" customFormat="1" ht="12" x14ac:dyDescent="0.2">
      <c r="A361" s="85">
        <v>3231</v>
      </c>
      <c r="B361" s="68" t="s">
        <v>7579</v>
      </c>
      <c r="C361" s="88">
        <v>223</v>
      </c>
      <c r="D361" s="72" t="s">
        <v>7623</v>
      </c>
      <c r="E361" s="155" t="s">
        <v>19</v>
      </c>
      <c r="F361" s="74">
        <v>42972</v>
      </c>
      <c r="G361" s="95">
        <f>143.19+123.69</f>
        <v>266.88</v>
      </c>
      <c r="H361" s="63"/>
      <c r="I361" s="63"/>
      <c r="J361" s="63"/>
      <c r="K361" s="133"/>
      <c r="L361" s="63"/>
      <c r="M361" s="63"/>
      <c r="N361" s="63"/>
      <c r="O361" s="63"/>
      <c r="P361" s="63"/>
      <c r="Q361" s="63">
        <f t="shared" si="18"/>
        <v>266.88</v>
      </c>
      <c r="R361" s="63">
        <f t="shared" si="19"/>
        <v>0</v>
      </c>
      <c r="S361" s="63">
        <f t="shared" si="20"/>
        <v>266.88</v>
      </c>
    </row>
    <row r="362" spans="1:19" s="77" customFormat="1" ht="12" x14ac:dyDescent="0.2">
      <c r="A362" s="85">
        <v>3231</v>
      </c>
      <c r="B362" s="68" t="s">
        <v>7579</v>
      </c>
      <c r="C362" s="88">
        <v>223</v>
      </c>
      <c r="D362" s="72" t="s">
        <v>7624</v>
      </c>
      <c r="E362" s="155" t="s">
        <v>7632</v>
      </c>
      <c r="F362" s="74">
        <v>42972</v>
      </c>
      <c r="G362" s="95">
        <f>82.93+341.24+262.25+41.3+143.91+205.1+41.3+41.3+185.65+471.7+41.3+115.6+967.66+163.7+2701.6+41.3+273.88+119.72+143.91+249.61+143.91+207.94+967.66</f>
        <v>7954.4699999999984</v>
      </c>
      <c r="H362" s="63"/>
      <c r="I362" s="63">
        <f>850+1360</f>
        <v>2210</v>
      </c>
      <c r="J362" s="63"/>
      <c r="K362" s="133"/>
      <c r="L362" s="63"/>
      <c r="M362" s="63"/>
      <c r="N362" s="63"/>
      <c r="O362" s="63"/>
      <c r="P362" s="63"/>
      <c r="Q362" s="63">
        <f t="shared" si="18"/>
        <v>10164.469999999998</v>
      </c>
      <c r="R362" s="63">
        <f t="shared" si="19"/>
        <v>0</v>
      </c>
      <c r="S362" s="63">
        <f t="shared" si="20"/>
        <v>10164.469999999998</v>
      </c>
    </row>
    <row r="363" spans="1:19" s="77" customFormat="1" ht="12" x14ac:dyDescent="0.2">
      <c r="A363" s="85">
        <v>3231</v>
      </c>
      <c r="B363" s="68" t="s">
        <v>7579</v>
      </c>
      <c r="C363" s="88">
        <v>223</v>
      </c>
      <c r="D363" s="72" t="s">
        <v>7625</v>
      </c>
      <c r="E363" s="155" t="s">
        <v>7632</v>
      </c>
      <c r="F363" s="74">
        <v>42972</v>
      </c>
      <c r="G363" s="95">
        <f>145.22+41.3</f>
        <v>186.51999999999998</v>
      </c>
      <c r="H363" s="63"/>
      <c r="I363" s="63"/>
      <c r="J363" s="63"/>
      <c r="K363" s="133"/>
      <c r="L363" s="63"/>
      <c r="M363" s="63"/>
      <c r="N363" s="63"/>
      <c r="O363" s="63"/>
      <c r="P363" s="63"/>
      <c r="Q363" s="63">
        <f t="shared" si="18"/>
        <v>186.51999999999998</v>
      </c>
      <c r="R363" s="63">
        <f t="shared" si="19"/>
        <v>0</v>
      </c>
      <c r="S363" s="63">
        <f t="shared" si="20"/>
        <v>186.51999999999998</v>
      </c>
    </row>
    <row r="364" spans="1:19" s="77" customFormat="1" ht="12" x14ac:dyDescent="0.2">
      <c r="A364" s="85">
        <v>747</v>
      </c>
      <c r="B364" s="68" t="s">
        <v>7580</v>
      </c>
      <c r="C364" s="88">
        <v>224</v>
      </c>
      <c r="D364" s="72" t="s">
        <v>7626</v>
      </c>
      <c r="E364" s="155" t="s">
        <v>19</v>
      </c>
      <c r="F364" s="74">
        <v>42972</v>
      </c>
      <c r="G364" s="95">
        <f>136.85+449.54+242.73</f>
        <v>829.12</v>
      </c>
      <c r="H364" s="63"/>
      <c r="I364" s="63">
        <f>538.33</f>
        <v>538.33000000000004</v>
      </c>
      <c r="J364" s="63"/>
      <c r="K364" s="133"/>
      <c r="L364" s="63"/>
      <c r="M364" s="63"/>
      <c r="N364" s="63"/>
      <c r="O364" s="63"/>
      <c r="P364" s="63"/>
      <c r="Q364" s="63">
        <f t="shared" si="18"/>
        <v>1367.45</v>
      </c>
      <c r="R364" s="63">
        <f t="shared" si="19"/>
        <v>0</v>
      </c>
      <c r="S364" s="63">
        <f t="shared" si="20"/>
        <v>1367.45</v>
      </c>
    </row>
    <row r="365" spans="1:19" s="77" customFormat="1" ht="12" x14ac:dyDescent="0.2">
      <c r="A365" s="85">
        <v>144630</v>
      </c>
      <c r="B365" s="68" t="s">
        <v>7581</v>
      </c>
      <c r="C365" s="88">
        <v>225</v>
      </c>
      <c r="D365" s="72" t="s">
        <v>7627</v>
      </c>
      <c r="E365" s="155" t="s">
        <v>19</v>
      </c>
      <c r="F365" s="74">
        <v>42977</v>
      </c>
      <c r="G365" s="95">
        <v>138.5</v>
      </c>
      <c r="H365" s="63"/>
      <c r="I365" s="63"/>
      <c r="J365" s="63"/>
      <c r="K365" s="133"/>
      <c r="L365" s="63"/>
      <c r="M365" s="63"/>
      <c r="N365" s="63"/>
      <c r="O365" s="63"/>
      <c r="P365" s="63"/>
      <c r="Q365" s="63">
        <f t="shared" si="18"/>
        <v>138.5</v>
      </c>
      <c r="R365" s="63">
        <f t="shared" si="19"/>
        <v>0</v>
      </c>
      <c r="S365" s="63">
        <f t="shared" si="20"/>
        <v>138.5</v>
      </c>
    </row>
    <row r="366" spans="1:19" s="77" customFormat="1" ht="12" x14ac:dyDescent="0.2">
      <c r="A366" s="85">
        <v>144630</v>
      </c>
      <c r="B366" s="68" t="s">
        <v>7581</v>
      </c>
      <c r="C366" s="88">
        <v>225</v>
      </c>
      <c r="D366" s="72" t="s">
        <v>7628</v>
      </c>
      <c r="E366" s="155" t="s">
        <v>19</v>
      </c>
      <c r="F366" s="74">
        <v>42977</v>
      </c>
      <c r="G366" s="95">
        <v>75</v>
      </c>
      <c r="H366" s="63"/>
      <c r="I366" s="63"/>
      <c r="J366" s="63"/>
      <c r="K366" s="133"/>
      <c r="L366" s="63"/>
      <c r="M366" s="63"/>
      <c r="N366" s="63"/>
      <c r="O366" s="63"/>
      <c r="P366" s="63"/>
      <c r="Q366" s="63">
        <f t="shared" si="18"/>
        <v>75</v>
      </c>
      <c r="R366" s="63">
        <f t="shared" si="19"/>
        <v>0</v>
      </c>
      <c r="S366" s="63">
        <f t="shared" si="20"/>
        <v>75</v>
      </c>
    </row>
    <row r="367" spans="1:19" s="77" customFormat="1" ht="12" x14ac:dyDescent="0.2">
      <c r="A367" s="85">
        <v>144630</v>
      </c>
      <c r="B367" s="68" t="s">
        <v>7581</v>
      </c>
      <c r="C367" s="88">
        <v>225</v>
      </c>
      <c r="D367" s="72" t="s">
        <v>7629</v>
      </c>
      <c r="E367" s="155" t="s">
        <v>19</v>
      </c>
      <c r="F367" s="74">
        <v>42977</v>
      </c>
      <c r="G367" s="95">
        <v>105</v>
      </c>
      <c r="H367" s="63"/>
      <c r="I367" s="63"/>
      <c r="J367" s="63"/>
      <c r="K367" s="133"/>
      <c r="L367" s="63"/>
      <c r="M367" s="63"/>
      <c r="N367" s="63"/>
      <c r="O367" s="63"/>
      <c r="P367" s="63"/>
      <c r="Q367" s="63">
        <f t="shared" si="18"/>
        <v>105</v>
      </c>
      <c r="R367" s="63">
        <f t="shared" si="19"/>
        <v>0</v>
      </c>
      <c r="S367" s="63">
        <f t="shared" si="20"/>
        <v>105</v>
      </c>
    </row>
    <row r="368" spans="1:19" s="77" customFormat="1" ht="12" x14ac:dyDescent="0.2">
      <c r="A368" s="85">
        <v>5125</v>
      </c>
      <c r="B368" s="68" t="s">
        <v>7582</v>
      </c>
      <c r="C368" s="88">
        <v>226</v>
      </c>
      <c r="D368" s="72" t="s">
        <v>7630</v>
      </c>
      <c r="E368" s="155" t="s">
        <v>19</v>
      </c>
      <c r="F368" s="74">
        <v>42978</v>
      </c>
      <c r="G368" s="95">
        <v>187.4</v>
      </c>
      <c r="H368" s="63"/>
      <c r="I368" s="63"/>
      <c r="J368" s="63"/>
      <c r="K368" s="133"/>
      <c r="L368" s="63"/>
      <c r="M368" s="63"/>
      <c r="N368" s="63"/>
      <c r="O368" s="63"/>
      <c r="P368" s="63"/>
      <c r="Q368" s="63">
        <f t="shared" si="18"/>
        <v>187.4</v>
      </c>
      <c r="R368" s="63">
        <f t="shared" si="19"/>
        <v>0</v>
      </c>
      <c r="S368" s="63">
        <f t="shared" si="20"/>
        <v>187.4</v>
      </c>
    </row>
    <row r="369" spans="1:19" s="77" customFormat="1" ht="12" x14ac:dyDescent="0.2">
      <c r="A369" s="85">
        <v>1674</v>
      </c>
      <c r="B369" s="68" t="s">
        <v>7633</v>
      </c>
      <c r="C369" s="88">
        <v>227</v>
      </c>
      <c r="D369" s="72" t="s">
        <v>7661</v>
      </c>
      <c r="E369" s="155" t="s">
        <v>19</v>
      </c>
      <c r="F369" s="74">
        <v>42980</v>
      </c>
      <c r="G369" s="95">
        <v>148.6</v>
      </c>
      <c r="H369" s="63"/>
      <c r="I369" s="63"/>
      <c r="J369" s="63"/>
      <c r="K369" s="133"/>
      <c r="L369" s="63"/>
      <c r="M369" s="63"/>
      <c r="N369" s="63"/>
      <c r="O369" s="63"/>
      <c r="P369" s="63"/>
      <c r="Q369" s="63">
        <f t="shared" si="18"/>
        <v>148.6</v>
      </c>
      <c r="R369" s="63">
        <f t="shared" si="19"/>
        <v>0</v>
      </c>
      <c r="S369" s="63">
        <f t="shared" si="20"/>
        <v>148.6</v>
      </c>
    </row>
    <row r="370" spans="1:19" s="77" customFormat="1" ht="12" x14ac:dyDescent="0.2">
      <c r="A370" s="85">
        <v>144326</v>
      </c>
      <c r="B370" s="68" t="s">
        <v>7634</v>
      </c>
      <c r="C370" s="88">
        <v>228</v>
      </c>
      <c r="D370" s="72" t="s">
        <v>7662</v>
      </c>
      <c r="E370" s="155" t="s">
        <v>19</v>
      </c>
      <c r="F370" s="74">
        <v>42982</v>
      </c>
      <c r="G370" s="95">
        <v>235.5</v>
      </c>
      <c r="H370" s="63"/>
      <c r="I370" s="63"/>
      <c r="J370" s="63"/>
      <c r="K370" s="133"/>
      <c r="L370" s="63"/>
      <c r="M370" s="63"/>
      <c r="N370" s="63"/>
      <c r="O370" s="63"/>
      <c r="P370" s="63"/>
      <c r="Q370" s="63">
        <f t="shared" si="18"/>
        <v>235.5</v>
      </c>
      <c r="R370" s="63">
        <f t="shared" si="19"/>
        <v>0</v>
      </c>
      <c r="S370" s="63">
        <f t="shared" si="20"/>
        <v>235.5</v>
      </c>
    </row>
    <row r="371" spans="1:19" s="77" customFormat="1" ht="12" x14ac:dyDescent="0.2">
      <c r="A371" s="85">
        <v>144326</v>
      </c>
      <c r="B371" s="68" t="s">
        <v>7634</v>
      </c>
      <c r="C371" s="88">
        <v>228</v>
      </c>
      <c r="D371" s="72" t="s">
        <v>7663</v>
      </c>
      <c r="E371" s="155" t="s">
        <v>19</v>
      </c>
      <c r="F371" s="74">
        <v>42982</v>
      </c>
      <c r="G371" s="95">
        <v>235.8</v>
      </c>
      <c r="H371" s="63"/>
      <c r="I371" s="63"/>
      <c r="J371" s="63"/>
      <c r="K371" s="133"/>
      <c r="L371" s="63"/>
      <c r="M371" s="63"/>
      <c r="N371" s="63"/>
      <c r="O371" s="63"/>
      <c r="P371" s="63"/>
      <c r="Q371" s="63">
        <f t="shared" si="18"/>
        <v>235.8</v>
      </c>
      <c r="R371" s="63">
        <f t="shared" si="19"/>
        <v>0</v>
      </c>
      <c r="S371" s="63">
        <f t="shared" si="20"/>
        <v>235.8</v>
      </c>
    </row>
    <row r="372" spans="1:19" s="77" customFormat="1" ht="12" x14ac:dyDescent="0.2">
      <c r="A372" s="85">
        <v>144326</v>
      </c>
      <c r="B372" s="68" t="s">
        <v>7634</v>
      </c>
      <c r="C372" s="88">
        <v>228</v>
      </c>
      <c r="D372" s="72" t="s">
        <v>7664</v>
      </c>
      <c r="E372" s="155" t="s">
        <v>19</v>
      </c>
      <c r="F372" s="74">
        <v>42982</v>
      </c>
      <c r="G372" s="95">
        <f>558.6+166.2+227.14+41.3+353.75+195.59+152.85+130.48+353.75+100.84+198.33+187.11</f>
        <v>2665.94</v>
      </c>
      <c r="H372" s="63"/>
      <c r="I372" s="63">
        <f>850</f>
        <v>850</v>
      </c>
      <c r="J372" s="63"/>
      <c r="K372" s="133"/>
      <c r="L372" s="63"/>
      <c r="M372" s="63"/>
      <c r="N372" s="63"/>
      <c r="O372" s="63"/>
      <c r="P372" s="63"/>
      <c r="Q372" s="63">
        <f t="shared" si="18"/>
        <v>3515.94</v>
      </c>
      <c r="R372" s="63">
        <f t="shared" si="19"/>
        <v>0</v>
      </c>
      <c r="S372" s="63">
        <f t="shared" si="20"/>
        <v>3515.94</v>
      </c>
    </row>
    <row r="373" spans="1:19" s="77" customFormat="1" ht="12" x14ac:dyDescent="0.2">
      <c r="A373" s="85">
        <v>146503</v>
      </c>
      <c r="B373" s="68" t="s">
        <v>7635</v>
      </c>
      <c r="C373" s="88">
        <v>229</v>
      </c>
      <c r="D373" s="72" t="s">
        <v>7665</v>
      </c>
      <c r="E373" s="155" t="s">
        <v>19</v>
      </c>
      <c r="F373" s="74">
        <v>42982</v>
      </c>
      <c r="G373" s="95">
        <f>6.31+364.86</f>
        <v>371.17</v>
      </c>
      <c r="H373" s="63"/>
      <c r="I373" s="63"/>
      <c r="J373" s="63"/>
      <c r="K373" s="133"/>
      <c r="L373" s="63"/>
      <c r="M373" s="63"/>
      <c r="N373" s="63"/>
      <c r="O373" s="63"/>
      <c r="P373" s="63"/>
      <c r="Q373" s="63">
        <f t="shared" si="18"/>
        <v>371.17</v>
      </c>
      <c r="R373" s="63">
        <f t="shared" si="19"/>
        <v>0</v>
      </c>
      <c r="S373" s="63">
        <f t="shared" si="20"/>
        <v>371.17</v>
      </c>
    </row>
    <row r="374" spans="1:19" s="77" customFormat="1" ht="12" x14ac:dyDescent="0.2">
      <c r="A374" s="85">
        <v>1574</v>
      </c>
      <c r="B374" s="68" t="s">
        <v>7636</v>
      </c>
      <c r="C374" s="88">
        <v>230</v>
      </c>
      <c r="D374" s="72" t="s">
        <v>7666</v>
      </c>
      <c r="E374" s="155" t="s">
        <v>19</v>
      </c>
      <c r="F374" s="74">
        <v>42982</v>
      </c>
      <c r="G374" s="95">
        <f>200+184.98+46.31+116.62</f>
        <v>547.91000000000008</v>
      </c>
      <c r="H374" s="63"/>
      <c r="I374" s="63">
        <f>463.1</f>
        <v>463.1</v>
      </c>
      <c r="J374" s="63"/>
      <c r="K374" s="133"/>
      <c r="L374" s="63"/>
      <c r="M374" s="63"/>
      <c r="N374" s="63"/>
      <c r="O374" s="63"/>
      <c r="P374" s="63"/>
      <c r="Q374" s="63">
        <f t="shared" si="18"/>
        <v>1011.0100000000001</v>
      </c>
      <c r="R374" s="63">
        <f t="shared" si="19"/>
        <v>0</v>
      </c>
      <c r="S374" s="63">
        <f t="shared" si="20"/>
        <v>1011.0100000000001</v>
      </c>
    </row>
    <row r="375" spans="1:19" s="77" customFormat="1" ht="12" x14ac:dyDescent="0.2">
      <c r="A375" s="85">
        <v>144073</v>
      </c>
      <c r="B375" s="68" t="s">
        <v>6860</v>
      </c>
      <c r="C375" s="88">
        <v>231</v>
      </c>
      <c r="D375" s="72" t="s">
        <v>7667</v>
      </c>
      <c r="E375" s="155" t="s">
        <v>19</v>
      </c>
      <c r="F375" s="74">
        <v>42982</v>
      </c>
      <c r="G375" s="95">
        <v>71.5</v>
      </c>
      <c r="H375" s="63"/>
      <c r="I375" s="63"/>
      <c r="J375" s="63"/>
      <c r="K375" s="133"/>
      <c r="L375" s="63"/>
      <c r="M375" s="63"/>
      <c r="N375" s="63"/>
      <c r="O375" s="63"/>
      <c r="P375" s="63"/>
      <c r="Q375" s="63">
        <f t="shared" si="18"/>
        <v>71.5</v>
      </c>
      <c r="R375" s="63">
        <f t="shared" si="19"/>
        <v>0</v>
      </c>
      <c r="S375" s="63">
        <f t="shared" si="20"/>
        <v>71.5</v>
      </c>
    </row>
    <row r="376" spans="1:19" s="77" customFormat="1" ht="12" x14ac:dyDescent="0.2">
      <c r="A376" s="85">
        <v>144073</v>
      </c>
      <c r="B376" s="68" t="s">
        <v>6860</v>
      </c>
      <c r="C376" s="88">
        <v>231</v>
      </c>
      <c r="D376" s="72" t="s">
        <v>7668</v>
      </c>
      <c r="E376" s="155" t="s">
        <v>19</v>
      </c>
      <c r="F376" s="74">
        <v>42982</v>
      </c>
      <c r="G376" s="95">
        <f>187.12+1974.46+99.08</f>
        <v>2260.66</v>
      </c>
      <c r="H376" s="63"/>
      <c r="I376" s="63">
        <v>283.33</v>
      </c>
      <c r="J376" s="63"/>
      <c r="K376" s="133"/>
      <c r="L376" s="63"/>
      <c r="M376" s="63"/>
      <c r="N376" s="63"/>
      <c r="O376" s="63"/>
      <c r="P376" s="63"/>
      <c r="Q376" s="63">
        <f t="shared" si="18"/>
        <v>2543.9899999999998</v>
      </c>
      <c r="R376" s="63">
        <f t="shared" si="19"/>
        <v>0</v>
      </c>
      <c r="S376" s="63">
        <f t="shared" si="20"/>
        <v>2543.9899999999998</v>
      </c>
    </row>
    <row r="377" spans="1:19" s="77" customFormat="1" ht="12" x14ac:dyDescent="0.2">
      <c r="A377" s="85">
        <v>144073</v>
      </c>
      <c r="B377" s="68" t="s">
        <v>6860</v>
      </c>
      <c r="C377" s="88">
        <v>231</v>
      </c>
      <c r="D377" s="72" t="s">
        <v>7669</v>
      </c>
      <c r="E377" s="155" t="s">
        <v>19</v>
      </c>
      <c r="F377" s="74">
        <v>42982</v>
      </c>
      <c r="G377" s="95">
        <f>107.89</f>
        <v>107.89</v>
      </c>
      <c r="H377" s="63"/>
      <c r="I377" s="63"/>
      <c r="J377" s="63"/>
      <c r="K377" s="133"/>
      <c r="L377" s="63"/>
      <c r="M377" s="63"/>
      <c r="N377" s="63"/>
      <c r="O377" s="63"/>
      <c r="P377" s="63"/>
      <c r="Q377" s="63">
        <f t="shared" si="18"/>
        <v>107.89</v>
      </c>
      <c r="R377" s="63">
        <f t="shared" si="19"/>
        <v>0</v>
      </c>
      <c r="S377" s="63">
        <f t="shared" si="20"/>
        <v>107.89</v>
      </c>
    </row>
    <row r="378" spans="1:19" s="77" customFormat="1" ht="12" x14ac:dyDescent="0.2">
      <c r="A378" s="85">
        <v>824</v>
      </c>
      <c r="B378" s="68" t="s">
        <v>7637</v>
      </c>
      <c r="C378" s="88">
        <v>232</v>
      </c>
      <c r="D378" s="72" t="s">
        <v>7670</v>
      </c>
      <c r="E378" s="155" t="s">
        <v>19</v>
      </c>
      <c r="F378" s="74">
        <v>42983</v>
      </c>
      <c r="G378" s="95">
        <v>83.5</v>
      </c>
      <c r="H378" s="63"/>
      <c r="I378" s="63"/>
      <c r="J378" s="63"/>
      <c r="K378" s="133"/>
      <c r="L378" s="63"/>
      <c r="M378" s="63"/>
      <c r="N378" s="63"/>
      <c r="O378" s="63"/>
      <c r="P378" s="63"/>
      <c r="Q378" s="63">
        <f t="shared" si="18"/>
        <v>83.5</v>
      </c>
      <c r="R378" s="63">
        <f t="shared" si="19"/>
        <v>0</v>
      </c>
      <c r="S378" s="63">
        <f t="shared" si="20"/>
        <v>83.5</v>
      </c>
    </row>
    <row r="379" spans="1:19" s="77" customFormat="1" ht="12" x14ac:dyDescent="0.2">
      <c r="A379" s="85">
        <v>145412</v>
      </c>
      <c r="B379" s="68" t="s">
        <v>7638</v>
      </c>
      <c r="C379" s="88">
        <v>233</v>
      </c>
      <c r="D379" s="72" t="s">
        <v>7671</v>
      </c>
      <c r="E379" s="155" t="s">
        <v>19</v>
      </c>
      <c r="F379" s="74">
        <v>42984</v>
      </c>
      <c r="G379" s="95">
        <f>135.47+224.3+205.59+353.75+168.7+41.3+168.7+168.7+187.4+159.24+172.52+172.52+353.78</f>
        <v>2511.9700000000003</v>
      </c>
      <c r="H379" s="63"/>
      <c r="I379" s="63">
        <f>1700+2350</f>
        <v>4050</v>
      </c>
      <c r="J379" s="63"/>
      <c r="K379" s="133"/>
      <c r="L379" s="63"/>
      <c r="M379" s="63"/>
      <c r="N379" s="63"/>
      <c r="O379" s="63"/>
      <c r="P379" s="63"/>
      <c r="Q379" s="63">
        <f t="shared" si="18"/>
        <v>6561.97</v>
      </c>
      <c r="R379" s="63">
        <f t="shared" si="19"/>
        <v>0</v>
      </c>
      <c r="S379" s="63">
        <f t="shared" si="20"/>
        <v>6561.97</v>
      </c>
    </row>
    <row r="380" spans="1:19" s="77" customFormat="1" ht="12" x14ac:dyDescent="0.2">
      <c r="A380" s="85">
        <v>7965</v>
      </c>
      <c r="B380" s="68" t="s">
        <v>7639</v>
      </c>
      <c r="C380" s="88">
        <v>234</v>
      </c>
      <c r="D380" s="72" t="s">
        <v>7672</v>
      </c>
      <c r="E380" s="155" t="s">
        <v>19</v>
      </c>
      <c r="F380" s="74">
        <v>42985</v>
      </c>
      <c r="G380" s="95">
        <v>222.9</v>
      </c>
      <c r="H380" s="63"/>
      <c r="I380" s="63"/>
      <c r="J380" s="63"/>
      <c r="K380" s="133"/>
      <c r="L380" s="63"/>
      <c r="M380" s="63"/>
      <c r="N380" s="63"/>
      <c r="O380" s="63"/>
      <c r="P380" s="63"/>
      <c r="Q380" s="63">
        <f t="shared" si="18"/>
        <v>222.9</v>
      </c>
      <c r="R380" s="63">
        <f t="shared" si="19"/>
        <v>0</v>
      </c>
      <c r="S380" s="63">
        <f t="shared" si="20"/>
        <v>222.9</v>
      </c>
    </row>
    <row r="381" spans="1:19" s="77" customFormat="1" ht="12" x14ac:dyDescent="0.2">
      <c r="A381" s="85">
        <v>143294</v>
      </c>
      <c r="B381" s="68" t="s">
        <v>7640</v>
      </c>
      <c r="C381" s="88">
        <v>235</v>
      </c>
      <c r="D381" s="72" t="s">
        <v>7673</v>
      </c>
      <c r="E381" s="155" t="s">
        <v>19</v>
      </c>
      <c r="F381" s="74">
        <v>42986</v>
      </c>
      <c r="G381" s="95">
        <v>286.10000000000002</v>
      </c>
      <c r="H381" s="63"/>
      <c r="I381" s="63"/>
      <c r="J381" s="63"/>
      <c r="K381" s="133"/>
      <c r="L381" s="63"/>
      <c r="M381" s="63"/>
      <c r="N381" s="63"/>
      <c r="O381" s="63"/>
      <c r="P381" s="63"/>
      <c r="Q381" s="63">
        <f t="shared" si="18"/>
        <v>286.10000000000002</v>
      </c>
      <c r="R381" s="63">
        <f t="shared" si="19"/>
        <v>0</v>
      </c>
      <c r="S381" s="63">
        <f t="shared" si="20"/>
        <v>286.10000000000002</v>
      </c>
    </row>
    <row r="382" spans="1:19" s="77" customFormat="1" ht="12" x14ac:dyDescent="0.2">
      <c r="A382" s="85">
        <v>8938</v>
      </c>
      <c r="B382" s="68" t="s">
        <v>7641</v>
      </c>
      <c r="C382" s="88">
        <v>236</v>
      </c>
      <c r="D382" s="72" t="s">
        <v>7674</v>
      </c>
      <c r="E382" s="155" t="s">
        <v>19</v>
      </c>
      <c r="F382" s="74">
        <v>42987</v>
      </c>
      <c r="G382" s="95">
        <f>305.27</f>
        <v>305.27</v>
      </c>
      <c r="H382" s="63"/>
      <c r="I382" s="63"/>
      <c r="J382" s="63"/>
      <c r="K382" s="133"/>
      <c r="L382" s="63"/>
      <c r="M382" s="63"/>
      <c r="N382" s="63"/>
      <c r="O382" s="63"/>
      <c r="P382" s="63"/>
      <c r="Q382" s="63">
        <f t="shared" si="18"/>
        <v>305.27</v>
      </c>
      <c r="R382" s="63">
        <f t="shared" si="19"/>
        <v>0</v>
      </c>
      <c r="S382" s="63">
        <f t="shared" si="20"/>
        <v>305.27</v>
      </c>
    </row>
    <row r="383" spans="1:19" s="77" customFormat="1" ht="12" x14ac:dyDescent="0.2">
      <c r="A383" s="85">
        <v>148626</v>
      </c>
      <c r="B383" s="68" t="s">
        <v>7642</v>
      </c>
      <c r="C383" s="88">
        <v>237</v>
      </c>
      <c r="D383" s="72" t="s">
        <v>7675</v>
      </c>
      <c r="E383" s="155" t="s">
        <v>19</v>
      </c>
      <c r="F383" s="74">
        <v>42988</v>
      </c>
      <c r="G383" s="95">
        <f>0.59+126.26</f>
        <v>126.85000000000001</v>
      </c>
      <c r="H383" s="63"/>
      <c r="I383" s="63"/>
      <c r="J383" s="63"/>
      <c r="K383" s="133"/>
      <c r="L383" s="63"/>
      <c r="M383" s="63"/>
      <c r="N383" s="63"/>
      <c r="O383" s="63"/>
      <c r="P383" s="63"/>
      <c r="Q383" s="63">
        <f t="shared" si="18"/>
        <v>126.85000000000001</v>
      </c>
      <c r="R383" s="63">
        <f t="shared" si="19"/>
        <v>0</v>
      </c>
      <c r="S383" s="63">
        <f t="shared" si="20"/>
        <v>126.85000000000001</v>
      </c>
    </row>
    <row r="384" spans="1:19" s="77" customFormat="1" ht="12" x14ac:dyDescent="0.2">
      <c r="A384" s="85">
        <v>144519</v>
      </c>
      <c r="B384" s="68" t="s">
        <v>7643</v>
      </c>
      <c r="C384" s="88">
        <v>238</v>
      </c>
      <c r="D384" s="72" t="s">
        <v>7676</v>
      </c>
      <c r="E384" s="155" t="s">
        <v>19</v>
      </c>
      <c r="F384" s="74">
        <v>42989</v>
      </c>
      <c r="G384" s="95">
        <f>660.2+238+400+1100+194.33+275.08+35</f>
        <v>2902.6099999999997</v>
      </c>
      <c r="H384" s="63"/>
      <c r="I384" s="63">
        <f>850+1275</f>
        <v>2125</v>
      </c>
      <c r="J384" s="63"/>
      <c r="K384" s="133"/>
      <c r="L384" s="63"/>
      <c r="M384" s="63"/>
      <c r="N384" s="63"/>
      <c r="O384" s="63"/>
      <c r="P384" s="63"/>
      <c r="Q384" s="63">
        <f t="shared" si="18"/>
        <v>5027.6099999999997</v>
      </c>
      <c r="R384" s="63">
        <f t="shared" si="19"/>
        <v>0</v>
      </c>
      <c r="S384" s="63">
        <f t="shared" si="20"/>
        <v>5027.6099999999997</v>
      </c>
    </row>
    <row r="385" spans="1:19" s="77" customFormat="1" ht="12" x14ac:dyDescent="0.2">
      <c r="A385" s="85">
        <v>144519</v>
      </c>
      <c r="B385" s="68" t="s">
        <v>7643</v>
      </c>
      <c r="C385" s="88">
        <v>238</v>
      </c>
      <c r="D385" s="72" t="s">
        <v>7677</v>
      </c>
      <c r="E385" s="155" t="s">
        <v>19</v>
      </c>
      <c r="F385" s="74">
        <v>42989</v>
      </c>
      <c r="G385" s="95">
        <f>151.5+558+197.55+70</f>
        <v>977.05</v>
      </c>
      <c r="H385" s="63"/>
      <c r="I385" s="63">
        <v>425</v>
      </c>
      <c r="J385" s="63"/>
      <c r="K385" s="133"/>
      <c r="L385" s="63"/>
      <c r="M385" s="63"/>
      <c r="N385" s="63"/>
      <c r="O385" s="63"/>
      <c r="P385" s="63"/>
      <c r="Q385" s="63">
        <f t="shared" si="18"/>
        <v>1402.05</v>
      </c>
      <c r="R385" s="63">
        <f t="shared" si="19"/>
        <v>0</v>
      </c>
      <c r="S385" s="63">
        <f t="shared" si="20"/>
        <v>1402.05</v>
      </c>
    </row>
    <row r="386" spans="1:19" s="77" customFormat="1" ht="12" x14ac:dyDescent="0.2">
      <c r="A386" s="85">
        <v>282</v>
      </c>
      <c r="B386" s="68" t="s">
        <v>7417</v>
      </c>
      <c r="C386" s="88">
        <v>239</v>
      </c>
      <c r="D386" s="72" t="s">
        <v>7678</v>
      </c>
      <c r="E386" s="155" t="s">
        <v>19</v>
      </c>
      <c r="F386" s="74">
        <v>42989</v>
      </c>
      <c r="G386" s="95">
        <f>129+400</f>
        <v>529</v>
      </c>
      <c r="H386" s="63"/>
      <c r="I386" s="63"/>
      <c r="J386" s="63"/>
      <c r="K386" s="133"/>
      <c r="L386" s="63"/>
      <c r="M386" s="63"/>
      <c r="N386" s="63"/>
      <c r="O386" s="63"/>
      <c r="P386" s="63"/>
      <c r="Q386" s="63">
        <f t="shared" si="18"/>
        <v>529</v>
      </c>
      <c r="R386" s="63">
        <f t="shared" si="19"/>
        <v>0</v>
      </c>
      <c r="S386" s="63">
        <f t="shared" si="20"/>
        <v>529</v>
      </c>
    </row>
    <row r="387" spans="1:19" s="77" customFormat="1" ht="12" x14ac:dyDescent="0.2">
      <c r="A387" s="85">
        <v>7796</v>
      </c>
      <c r="B387" s="68" t="s">
        <v>6478</v>
      </c>
      <c r="C387" s="88">
        <v>240</v>
      </c>
      <c r="D387" s="72" t="s">
        <v>7679</v>
      </c>
      <c r="E387" s="155" t="s">
        <v>19</v>
      </c>
      <c r="F387" s="74">
        <v>42990</v>
      </c>
      <c r="G387" s="95">
        <v>78.5</v>
      </c>
      <c r="H387" s="63"/>
      <c r="I387" s="63"/>
      <c r="J387" s="63"/>
      <c r="K387" s="133"/>
      <c r="L387" s="63"/>
      <c r="M387" s="63"/>
      <c r="N387" s="63"/>
      <c r="O387" s="63"/>
      <c r="P387" s="63"/>
      <c r="Q387" s="63">
        <f t="shared" si="18"/>
        <v>78.5</v>
      </c>
      <c r="R387" s="63">
        <f t="shared" si="19"/>
        <v>0</v>
      </c>
      <c r="S387" s="63">
        <f t="shared" si="20"/>
        <v>78.5</v>
      </c>
    </row>
    <row r="388" spans="1:19" s="77" customFormat="1" ht="12" x14ac:dyDescent="0.2">
      <c r="A388" s="85">
        <v>7796</v>
      </c>
      <c r="B388" s="68" t="s">
        <v>6478</v>
      </c>
      <c r="C388" s="88">
        <v>240</v>
      </c>
      <c r="D388" s="72" t="s">
        <v>7680</v>
      </c>
      <c r="E388" s="155" t="s">
        <v>19</v>
      </c>
      <c r="F388" s="74">
        <v>42990</v>
      </c>
      <c r="G388" s="95">
        <v>107.7</v>
      </c>
      <c r="H388" s="63"/>
      <c r="I388" s="63"/>
      <c r="J388" s="63"/>
      <c r="K388" s="133"/>
      <c r="L388" s="63"/>
      <c r="M388" s="63"/>
      <c r="N388" s="63"/>
      <c r="O388" s="63"/>
      <c r="P388" s="63"/>
      <c r="Q388" s="63">
        <f t="shared" si="18"/>
        <v>107.7</v>
      </c>
      <c r="R388" s="63">
        <f t="shared" si="19"/>
        <v>0</v>
      </c>
      <c r="S388" s="63">
        <f t="shared" si="20"/>
        <v>107.7</v>
      </c>
    </row>
    <row r="389" spans="1:19" s="77" customFormat="1" ht="12" x14ac:dyDescent="0.2">
      <c r="A389" s="85">
        <v>7796</v>
      </c>
      <c r="B389" s="68" t="s">
        <v>6478</v>
      </c>
      <c r="C389" s="88">
        <v>240</v>
      </c>
      <c r="D389" s="72" t="s">
        <v>7681</v>
      </c>
      <c r="E389" s="155" t="s">
        <v>19</v>
      </c>
      <c r="F389" s="74">
        <v>42990</v>
      </c>
      <c r="G389" s="95">
        <v>192.3</v>
      </c>
      <c r="H389" s="63"/>
      <c r="I389" s="63"/>
      <c r="J389" s="63"/>
      <c r="K389" s="133"/>
      <c r="L389" s="63"/>
      <c r="M389" s="63"/>
      <c r="N389" s="63"/>
      <c r="O389" s="63"/>
      <c r="P389" s="63"/>
      <c r="Q389" s="63">
        <f t="shared" si="18"/>
        <v>192.3</v>
      </c>
      <c r="R389" s="63">
        <f t="shared" si="19"/>
        <v>0</v>
      </c>
      <c r="S389" s="63">
        <f t="shared" si="20"/>
        <v>192.3</v>
      </c>
    </row>
    <row r="390" spans="1:19" s="77" customFormat="1" ht="12" x14ac:dyDescent="0.2">
      <c r="A390" s="85">
        <v>3795</v>
      </c>
      <c r="B390" s="68" t="s">
        <v>7644</v>
      </c>
      <c r="C390" s="88">
        <v>241</v>
      </c>
      <c r="D390" s="72" t="s">
        <v>7682</v>
      </c>
      <c r="E390" s="155" t="s">
        <v>19</v>
      </c>
      <c r="F390" s="74">
        <v>42991</v>
      </c>
      <c r="G390" s="95">
        <f>133.35+93.82+156.56</f>
        <v>383.73</v>
      </c>
      <c r="H390" s="63"/>
      <c r="I390" s="63"/>
      <c r="J390" s="63"/>
      <c r="K390" s="133"/>
      <c r="L390" s="63"/>
      <c r="M390" s="63"/>
      <c r="N390" s="63"/>
      <c r="O390" s="63"/>
      <c r="P390" s="63"/>
      <c r="Q390" s="63">
        <f t="shared" si="18"/>
        <v>383.73</v>
      </c>
      <c r="R390" s="63">
        <f t="shared" si="19"/>
        <v>0</v>
      </c>
      <c r="S390" s="63">
        <f t="shared" si="20"/>
        <v>383.73</v>
      </c>
    </row>
    <row r="391" spans="1:19" s="77" customFormat="1" ht="12" x14ac:dyDescent="0.2">
      <c r="A391" s="85">
        <v>9109</v>
      </c>
      <c r="B391" s="68" t="s">
        <v>7645</v>
      </c>
      <c r="C391" s="88">
        <v>242</v>
      </c>
      <c r="D391" s="72" t="s">
        <v>7683</v>
      </c>
      <c r="E391" s="155" t="s">
        <v>19</v>
      </c>
      <c r="F391" s="74">
        <v>42991</v>
      </c>
      <c r="G391" s="95">
        <f>377+630+140+65</f>
        <v>1212</v>
      </c>
      <c r="H391" s="63"/>
      <c r="I391" s="63"/>
      <c r="J391" s="63"/>
      <c r="K391" s="133"/>
      <c r="L391" s="63"/>
      <c r="M391" s="63"/>
      <c r="N391" s="63"/>
      <c r="O391" s="63"/>
      <c r="P391" s="63"/>
      <c r="Q391" s="63">
        <f t="shared" si="18"/>
        <v>1212</v>
      </c>
      <c r="R391" s="63">
        <f t="shared" si="19"/>
        <v>0</v>
      </c>
      <c r="S391" s="63">
        <f t="shared" si="20"/>
        <v>1212</v>
      </c>
    </row>
    <row r="392" spans="1:19" s="77" customFormat="1" ht="12" x14ac:dyDescent="0.2">
      <c r="A392" s="85">
        <v>4904</v>
      </c>
      <c r="B392" s="68" t="s">
        <v>7646</v>
      </c>
      <c r="C392" s="88">
        <v>243</v>
      </c>
      <c r="D392" s="72" t="s">
        <v>7684</v>
      </c>
      <c r="E392" s="155" t="s">
        <v>7413</v>
      </c>
      <c r="F392" s="74">
        <v>42991</v>
      </c>
      <c r="G392" s="95">
        <f>57.7</f>
        <v>57.7</v>
      </c>
      <c r="H392" s="63"/>
      <c r="I392" s="63"/>
      <c r="J392" s="63"/>
      <c r="K392" s="133"/>
      <c r="L392" s="63"/>
      <c r="M392" s="63"/>
      <c r="N392" s="63"/>
      <c r="O392" s="63"/>
      <c r="P392" s="63"/>
      <c r="Q392" s="63">
        <f t="shared" si="18"/>
        <v>57.7</v>
      </c>
      <c r="R392" s="63">
        <f t="shared" si="19"/>
        <v>0</v>
      </c>
      <c r="S392" s="63">
        <f t="shared" si="20"/>
        <v>57.7</v>
      </c>
    </row>
    <row r="393" spans="1:19" s="77" customFormat="1" ht="12" x14ac:dyDescent="0.2">
      <c r="A393" s="85">
        <v>9920</v>
      </c>
      <c r="B393" s="68" t="s">
        <v>7647</v>
      </c>
      <c r="C393" s="88">
        <v>244</v>
      </c>
      <c r="D393" s="72" t="s">
        <v>7685</v>
      </c>
      <c r="E393" s="155" t="s">
        <v>7127</v>
      </c>
      <c r="F393" s="74">
        <v>42992</v>
      </c>
      <c r="G393" s="95">
        <f>61</f>
        <v>61</v>
      </c>
      <c r="H393" s="63"/>
      <c r="I393" s="63"/>
      <c r="J393" s="63"/>
      <c r="K393" s="133"/>
      <c r="L393" s="63"/>
      <c r="M393" s="63"/>
      <c r="N393" s="63"/>
      <c r="O393" s="63"/>
      <c r="P393" s="63"/>
      <c r="Q393" s="63">
        <f t="shared" si="18"/>
        <v>61</v>
      </c>
      <c r="R393" s="63">
        <f t="shared" si="19"/>
        <v>0</v>
      </c>
      <c r="S393" s="63">
        <f t="shared" si="20"/>
        <v>61</v>
      </c>
    </row>
    <row r="394" spans="1:19" s="77" customFormat="1" ht="12" x14ac:dyDescent="0.2">
      <c r="A394" s="85">
        <v>7128</v>
      </c>
      <c r="B394" s="68" t="s">
        <v>7648</v>
      </c>
      <c r="C394" s="88">
        <v>245</v>
      </c>
      <c r="D394" s="72" t="s">
        <v>7686</v>
      </c>
      <c r="E394" s="155" t="s">
        <v>19</v>
      </c>
      <c r="F394" s="74">
        <v>42993</v>
      </c>
      <c r="G394" s="95">
        <f>826.51+94+129</f>
        <v>1049.51</v>
      </c>
      <c r="H394" s="63"/>
      <c r="I394" s="63">
        <v>850</v>
      </c>
      <c r="J394" s="63"/>
      <c r="K394" s="133"/>
      <c r="L394" s="63"/>
      <c r="M394" s="63"/>
      <c r="N394" s="63"/>
      <c r="O394" s="63"/>
      <c r="P394" s="63"/>
      <c r="Q394" s="63">
        <f t="shared" si="18"/>
        <v>1899.51</v>
      </c>
      <c r="R394" s="63">
        <f t="shared" si="19"/>
        <v>0</v>
      </c>
      <c r="S394" s="63">
        <f t="shared" si="20"/>
        <v>1899.51</v>
      </c>
    </row>
    <row r="395" spans="1:19" s="77" customFormat="1" ht="12" x14ac:dyDescent="0.2">
      <c r="A395" s="68">
        <v>5652</v>
      </c>
      <c r="B395" s="68" t="s">
        <v>7301</v>
      </c>
      <c r="C395" s="88">
        <v>246</v>
      </c>
      <c r="D395" s="72" t="s">
        <v>7687</v>
      </c>
      <c r="E395" s="155" t="s">
        <v>19</v>
      </c>
      <c r="F395" s="74">
        <v>42994</v>
      </c>
      <c r="G395" s="95">
        <f>93.46</f>
        <v>93.46</v>
      </c>
      <c r="H395" s="63"/>
      <c r="I395" s="63"/>
      <c r="J395" s="63"/>
      <c r="K395" s="133"/>
      <c r="L395" s="63"/>
      <c r="M395" s="63"/>
      <c r="N395" s="63"/>
      <c r="O395" s="63"/>
      <c r="P395" s="63"/>
      <c r="Q395" s="63">
        <f t="shared" si="18"/>
        <v>93.46</v>
      </c>
      <c r="R395" s="63">
        <f t="shared" si="19"/>
        <v>0</v>
      </c>
      <c r="S395" s="63">
        <f t="shared" si="20"/>
        <v>93.46</v>
      </c>
    </row>
    <row r="396" spans="1:19" s="77" customFormat="1" ht="12" x14ac:dyDescent="0.2">
      <c r="A396" s="68">
        <v>5652</v>
      </c>
      <c r="B396" s="68" t="s">
        <v>7301</v>
      </c>
      <c r="C396" s="88">
        <v>246</v>
      </c>
      <c r="D396" s="72" t="s">
        <v>7688</v>
      </c>
      <c r="E396" s="155" t="s">
        <v>19</v>
      </c>
      <c r="F396" s="74">
        <v>42994</v>
      </c>
      <c r="G396" s="95">
        <f>150.65</f>
        <v>150.65</v>
      </c>
      <c r="H396" s="63"/>
      <c r="I396" s="63"/>
      <c r="J396" s="63"/>
      <c r="K396" s="133"/>
      <c r="L396" s="63"/>
      <c r="M396" s="63"/>
      <c r="N396" s="63"/>
      <c r="O396" s="63"/>
      <c r="P396" s="63"/>
      <c r="Q396" s="63">
        <f t="shared" si="18"/>
        <v>150.65</v>
      </c>
      <c r="R396" s="63">
        <f t="shared" si="19"/>
        <v>0</v>
      </c>
      <c r="S396" s="63">
        <f t="shared" si="20"/>
        <v>150.65</v>
      </c>
    </row>
    <row r="397" spans="1:19" s="77" customFormat="1" ht="12" x14ac:dyDescent="0.2">
      <c r="A397" s="68">
        <v>5200</v>
      </c>
      <c r="B397" s="68" t="s">
        <v>7649</v>
      </c>
      <c r="C397" s="88">
        <v>247</v>
      </c>
      <c r="D397" s="72" t="s">
        <v>7689</v>
      </c>
      <c r="E397" s="155" t="s">
        <v>19</v>
      </c>
      <c r="F397" s="74">
        <v>42994</v>
      </c>
      <c r="G397" s="95">
        <f>199.08</f>
        <v>199.08</v>
      </c>
      <c r="H397" s="63"/>
      <c r="I397" s="63"/>
      <c r="J397" s="63"/>
      <c r="K397" s="133"/>
      <c r="L397" s="63"/>
      <c r="M397" s="63"/>
      <c r="N397" s="63"/>
      <c r="O397" s="63"/>
      <c r="P397" s="63"/>
      <c r="Q397" s="63">
        <f t="shared" si="18"/>
        <v>199.08</v>
      </c>
      <c r="R397" s="63">
        <f t="shared" si="19"/>
        <v>0</v>
      </c>
      <c r="S397" s="63">
        <f t="shared" si="20"/>
        <v>199.08</v>
      </c>
    </row>
    <row r="398" spans="1:19" s="77" customFormat="1" ht="12" x14ac:dyDescent="0.2">
      <c r="A398" s="68">
        <v>4670</v>
      </c>
      <c r="B398" s="68" t="s">
        <v>7650</v>
      </c>
      <c r="C398" s="88">
        <v>248</v>
      </c>
      <c r="D398" s="72" t="s">
        <v>7690</v>
      </c>
      <c r="E398" s="155" t="s">
        <v>19</v>
      </c>
      <c r="F398" s="74">
        <v>42996</v>
      </c>
      <c r="G398" s="95">
        <v>399.61</v>
      </c>
      <c r="H398" s="63"/>
      <c r="I398" s="63"/>
      <c r="J398" s="63"/>
      <c r="K398" s="133"/>
      <c r="L398" s="63"/>
      <c r="M398" s="63"/>
      <c r="N398" s="63"/>
      <c r="O398" s="63"/>
      <c r="P398" s="63"/>
      <c r="Q398" s="63">
        <f t="shared" si="18"/>
        <v>399.61</v>
      </c>
      <c r="R398" s="63">
        <f t="shared" si="19"/>
        <v>0</v>
      </c>
      <c r="S398" s="63">
        <f t="shared" si="20"/>
        <v>399.61</v>
      </c>
    </row>
    <row r="399" spans="1:19" s="77" customFormat="1" ht="12" x14ac:dyDescent="0.2">
      <c r="A399" s="68">
        <v>148279</v>
      </c>
      <c r="B399" s="68" t="s">
        <v>7651</v>
      </c>
      <c r="C399" s="88">
        <v>249</v>
      </c>
      <c r="D399" s="72" t="s">
        <v>7691</v>
      </c>
      <c r="E399" s="155" t="s">
        <v>19</v>
      </c>
      <c r="F399" s="74">
        <v>42996</v>
      </c>
      <c r="G399" s="95">
        <f>3.54+173.46</f>
        <v>177</v>
      </c>
      <c r="H399" s="63"/>
      <c r="I399" s="63"/>
      <c r="J399" s="63"/>
      <c r="K399" s="133"/>
      <c r="L399" s="63"/>
      <c r="M399" s="63"/>
      <c r="N399" s="63"/>
      <c r="O399" s="63"/>
      <c r="P399" s="63"/>
      <c r="Q399" s="63">
        <f t="shared" si="18"/>
        <v>177</v>
      </c>
      <c r="R399" s="63">
        <f t="shared" si="19"/>
        <v>0</v>
      </c>
      <c r="S399" s="63">
        <f t="shared" si="20"/>
        <v>177</v>
      </c>
    </row>
    <row r="400" spans="1:19" s="77" customFormat="1" ht="12" x14ac:dyDescent="0.2">
      <c r="A400" s="68">
        <v>144806</v>
      </c>
      <c r="B400" s="68" t="s">
        <v>7652</v>
      </c>
      <c r="C400" s="88">
        <v>250</v>
      </c>
      <c r="D400" s="72" t="s">
        <v>7692</v>
      </c>
      <c r="E400" s="155" t="s">
        <v>19</v>
      </c>
      <c r="F400" s="74">
        <v>42996</v>
      </c>
      <c r="G400" s="95">
        <f>188.8+8.02</f>
        <v>196.82000000000002</v>
      </c>
      <c r="H400" s="63"/>
      <c r="I400" s="63"/>
      <c r="J400" s="63"/>
      <c r="K400" s="133"/>
      <c r="L400" s="63"/>
      <c r="M400" s="63"/>
      <c r="N400" s="63"/>
      <c r="O400" s="63"/>
      <c r="P400" s="63"/>
      <c r="Q400" s="63">
        <f t="shared" ref="Q400:Q463" si="21">+G400+I400+K400+M400+O400</f>
        <v>196.82000000000002</v>
      </c>
      <c r="R400" s="63">
        <f t="shared" ref="R400:R463" si="22">+H400+J400+L400+N400+P400</f>
        <v>0</v>
      </c>
      <c r="S400" s="63">
        <f t="shared" ref="S400:S463" si="23">+Q400+R400</f>
        <v>196.82000000000002</v>
      </c>
    </row>
    <row r="401" spans="1:19" s="77" customFormat="1" ht="12" x14ac:dyDescent="0.2">
      <c r="A401" s="68">
        <v>10472</v>
      </c>
      <c r="B401" s="68" t="s">
        <v>7653</v>
      </c>
      <c r="C401" s="88">
        <v>251</v>
      </c>
      <c r="D401" s="72" t="s">
        <v>7693</v>
      </c>
      <c r="E401" s="155" t="s">
        <v>19</v>
      </c>
      <c r="F401" s="74">
        <v>42998</v>
      </c>
      <c r="G401" s="95">
        <v>142.80000000000001</v>
      </c>
      <c r="H401" s="63"/>
      <c r="I401" s="63"/>
      <c r="J401" s="63"/>
      <c r="K401" s="133"/>
      <c r="L401" s="63"/>
      <c r="M401" s="63"/>
      <c r="N401" s="63"/>
      <c r="O401" s="63"/>
      <c r="P401" s="63"/>
      <c r="Q401" s="63">
        <f t="shared" si="21"/>
        <v>142.80000000000001</v>
      </c>
      <c r="R401" s="63">
        <f t="shared" si="22"/>
        <v>0</v>
      </c>
      <c r="S401" s="63">
        <f t="shared" si="23"/>
        <v>142.80000000000001</v>
      </c>
    </row>
    <row r="402" spans="1:19" s="77" customFormat="1" ht="12" x14ac:dyDescent="0.2">
      <c r="A402" s="68">
        <v>11005</v>
      </c>
      <c r="B402" s="68" t="s">
        <v>7654</v>
      </c>
      <c r="C402" s="88">
        <v>252</v>
      </c>
      <c r="D402" s="72" t="s">
        <v>7694</v>
      </c>
      <c r="E402" s="155" t="s">
        <v>19</v>
      </c>
      <c r="F402" s="74">
        <v>42999</v>
      </c>
      <c r="G402" s="95">
        <f>119.45+2101.89+91.39+185.06+41.3+138.57+111.25+138.57</f>
        <v>2927.48</v>
      </c>
      <c r="H402" s="63"/>
      <c r="I402" s="63">
        <f>425+850</f>
        <v>1275</v>
      </c>
      <c r="J402" s="63"/>
      <c r="K402" s="133"/>
      <c r="L402" s="63"/>
      <c r="M402" s="63"/>
      <c r="N402" s="63"/>
      <c r="O402" s="63"/>
      <c r="P402" s="63"/>
      <c r="Q402" s="63">
        <f t="shared" si="21"/>
        <v>4202.4799999999996</v>
      </c>
      <c r="R402" s="63">
        <f t="shared" si="22"/>
        <v>0</v>
      </c>
      <c r="S402" s="63">
        <f t="shared" si="23"/>
        <v>4202.4799999999996</v>
      </c>
    </row>
    <row r="403" spans="1:19" s="77" customFormat="1" ht="12" x14ac:dyDescent="0.2">
      <c r="A403" s="68">
        <v>11625</v>
      </c>
      <c r="B403" s="68" t="s">
        <v>7655</v>
      </c>
      <c r="C403" s="88">
        <v>253</v>
      </c>
      <c r="D403" s="72" t="s">
        <v>7695</v>
      </c>
      <c r="E403" s="155" t="s">
        <v>19</v>
      </c>
      <c r="F403" s="74">
        <v>43000</v>
      </c>
      <c r="G403" s="95">
        <f>226.91</f>
        <v>226.91</v>
      </c>
      <c r="H403" s="63"/>
      <c r="I403" s="63"/>
      <c r="J403" s="63"/>
      <c r="K403" s="133"/>
      <c r="L403" s="63"/>
      <c r="M403" s="63"/>
      <c r="N403" s="63"/>
      <c r="O403" s="63"/>
      <c r="P403" s="63"/>
      <c r="Q403" s="63">
        <f t="shared" si="21"/>
        <v>226.91</v>
      </c>
      <c r="R403" s="63">
        <f t="shared" si="22"/>
        <v>0</v>
      </c>
      <c r="S403" s="63">
        <f t="shared" si="23"/>
        <v>226.91</v>
      </c>
    </row>
    <row r="404" spans="1:19" s="77" customFormat="1" ht="12" x14ac:dyDescent="0.2">
      <c r="A404" s="68">
        <v>3820</v>
      </c>
      <c r="B404" s="68" t="s">
        <v>7656</v>
      </c>
      <c r="C404" s="88">
        <v>254</v>
      </c>
      <c r="D404" s="72" t="s">
        <v>7696</v>
      </c>
      <c r="E404" s="155" t="s">
        <v>19</v>
      </c>
      <c r="F404" s="74">
        <v>43002</v>
      </c>
      <c r="G404" s="95">
        <f>329</f>
        <v>329</v>
      </c>
      <c r="H404" s="63"/>
      <c r="I404" s="63"/>
      <c r="J404" s="63"/>
      <c r="K404" s="133"/>
      <c r="L404" s="63"/>
      <c r="M404" s="63"/>
      <c r="N404" s="63"/>
      <c r="O404" s="63"/>
      <c r="P404" s="63"/>
      <c r="Q404" s="63">
        <f t="shared" si="21"/>
        <v>329</v>
      </c>
      <c r="R404" s="63">
        <f t="shared" si="22"/>
        <v>0</v>
      </c>
      <c r="S404" s="63">
        <f t="shared" si="23"/>
        <v>329</v>
      </c>
    </row>
    <row r="405" spans="1:19" s="77" customFormat="1" ht="12" x14ac:dyDescent="0.2">
      <c r="A405" s="68">
        <v>143986</v>
      </c>
      <c r="B405" s="68" t="s">
        <v>7657</v>
      </c>
      <c r="C405" s="88">
        <v>255</v>
      </c>
      <c r="D405" s="72" t="s">
        <v>7697</v>
      </c>
      <c r="E405" s="155" t="s">
        <v>19</v>
      </c>
      <c r="F405" s="74">
        <v>43004</v>
      </c>
      <c r="G405" s="95">
        <f>203</f>
        <v>203</v>
      </c>
      <c r="H405" s="63"/>
      <c r="I405" s="63"/>
      <c r="J405" s="63"/>
      <c r="K405" s="133"/>
      <c r="L405" s="63"/>
      <c r="M405" s="63"/>
      <c r="N405" s="63"/>
      <c r="O405" s="63"/>
      <c r="P405" s="63"/>
      <c r="Q405" s="63">
        <f t="shared" si="21"/>
        <v>203</v>
      </c>
      <c r="R405" s="63">
        <f t="shared" si="22"/>
        <v>0</v>
      </c>
      <c r="S405" s="63">
        <f t="shared" si="23"/>
        <v>203</v>
      </c>
    </row>
    <row r="406" spans="1:19" s="77" customFormat="1" ht="12" x14ac:dyDescent="0.2">
      <c r="A406" s="68">
        <v>9019</v>
      </c>
      <c r="B406" s="68" t="s">
        <v>7658</v>
      </c>
      <c r="C406" s="88">
        <v>256</v>
      </c>
      <c r="D406" s="72" t="s">
        <v>7698</v>
      </c>
      <c r="E406" s="155" t="s">
        <v>19</v>
      </c>
      <c r="F406" s="74">
        <v>43004</v>
      </c>
      <c r="G406" s="95">
        <f>172</f>
        <v>172</v>
      </c>
      <c r="H406" s="63"/>
      <c r="I406" s="63"/>
      <c r="J406" s="63"/>
      <c r="K406" s="133"/>
      <c r="L406" s="63"/>
      <c r="M406" s="63"/>
      <c r="N406" s="63"/>
      <c r="O406" s="63"/>
      <c r="P406" s="63"/>
      <c r="Q406" s="63">
        <f t="shared" si="21"/>
        <v>172</v>
      </c>
      <c r="R406" s="63">
        <f t="shared" si="22"/>
        <v>0</v>
      </c>
      <c r="S406" s="63">
        <f t="shared" si="23"/>
        <v>172</v>
      </c>
    </row>
    <row r="407" spans="1:19" s="77" customFormat="1" ht="12" x14ac:dyDescent="0.2">
      <c r="A407" s="68">
        <v>2739</v>
      </c>
      <c r="B407" s="68" t="s">
        <v>7659</v>
      </c>
      <c r="C407" s="88">
        <v>257</v>
      </c>
      <c r="D407" s="72" t="s">
        <v>7699</v>
      </c>
      <c r="E407" s="155" t="s">
        <v>19</v>
      </c>
      <c r="F407" s="74">
        <v>43005</v>
      </c>
      <c r="G407" s="95">
        <f>5.66+215.94</f>
        <v>221.6</v>
      </c>
      <c r="H407" s="63"/>
      <c r="I407" s="63"/>
      <c r="J407" s="63"/>
      <c r="K407" s="133"/>
      <c r="L407" s="63"/>
      <c r="M407" s="63"/>
      <c r="N407" s="63"/>
      <c r="O407" s="63"/>
      <c r="P407" s="63"/>
      <c r="Q407" s="63">
        <f t="shared" si="21"/>
        <v>221.6</v>
      </c>
      <c r="R407" s="63">
        <f t="shared" si="22"/>
        <v>0</v>
      </c>
      <c r="S407" s="63">
        <f t="shared" si="23"/>
        <v>221.6</v>
      </c>
    </row>
    <row r="408" spans="1:19" s="77" customFormat="1" ht="12" x14ac:dyDescent="0.2">
      <c r="A408" s="68">
        <v>7352</v>
      </c>
      <c r="B408" s="68" t="s">
        <v>7660</v>
      </c>
      <c r="C408" s="88">
        <v>258</v>
      </c>
      <c r="D408" s="72" t="s">
        <v>7700</v>
      </c>
      <c r="E408" s="155" t="s">
        <v>19</v>
      </c>
      <c r="F408" s="74">
        <v>43008</v>
      </c>
      <c r="G408" s="95">
        <f>3.25+143.96+132.09+130.48+5138.97+41.3+194.55+268.85+3.25+143.96+103.88+174.78</f>
        <v>6479.3200000000006</v>
      </c>
      <c r="H408" s="63"/>
      <c r="I408" s="63"/>
      <c r="J408" s="63"/>
      <c r="K408" s="133"/>
      <c r="L408" s="63"/>
      <c r="M408" s="63"/>
      <c r="N408" s="63"/>
      <c r="O408" s="63"/>
      <c r="P408" s="63"/>
      <c r="Q408" s="63">
        <f t="shared" si="21"/>
        <v>6479.3200000000006</v>
      </c>
      <c r="R408" s="63">
        <f t="shared" si="22"/>
        <v>0</v>
      </c>
      <c r="S408" s="63">
        <f t="shared" si="23"/>
        <v>6479.3200000000006</v>
      </c>
    </row>
    <row r="409" spans="1:19" s="77" customFormat="1" ht="12" x14ac:dyDescent="0.2">
      <c r="A409" s="68">
        <v>7352</v>
      </c>
      <c r="B409" s="68" t="s">
        <v>7660</v>
      </c>
      <c r="C409" s="88">
        <v>258</v>
      </c>
      <c r="D409" s="72" t="s">
        <v>7918</v>
      </c>
      <c r="E409" s="155" t="s">
        <v>19</v>
      </c>
      <c r="F409" s="74">
        <v>43008</v>
      </c>
      <c r="G409" s="95">
        <f>1.12+184.08</f>
        <v>185.20000000000002</v>
      </c>
      <c r="H409" s="63"/>
      <c r="I409" s="63"/>
      <c r="J409" s="63"/>
      <c r="K409" s="133"/>
      <c r="L409" s="63"/>
      <c r="M409" s="63"/>
      <c r="N409" s="63"/>
      <c r="O409" s="63"/>
      <c r="P409" s="63"/>
      <c r="Q409" s="63">
        <f t="shared" si="21"/>
        <v>185.20000000000002</v>
      </c>
      <c r="R409" s="63">
        <f t="shared" si="22"/>
        <v>0</v>
      </c>
      <c r="S409" s="63">
        <f t="shared" si="23"/>
        <v>185.20000000000002</v>
      </c>
    </row>
    <row r="410" spans="1:19" s="77" customFormat="1" ht="12" x14ac:dyDescent="0.2">
      <c r="A410" s="68">
        <v>7352</v>
      </c>
      <c r="B410" s="68" t="s">
        <v>7660</v>
      </c>
      <c r="C410" s="88">
        <v>258</v>
      </c>
      <c r="D410" s="72" t="s">
        <v>7701</v>
      </c>
      <c r="E410" s="155" t="s">
        <v>19</v>
      </c>
      <c r="F410" s="74">
        <v>43008</v>
      </c>
      <c r="G410" s="95">
        <f>1.12+120.36</f>
        <v>121.48</v>
      </c>
      <c r="H410" s="63"/>
      <c r="I410" s="63"/>
      <c r="J410" s="63"/>
      <c r="K410" s="133"/>
      <c r="L410" s="63"/>
      <c r="M410" s="63"/>
      <c r="N410" s="63"/>
      <c r="O410" s="63"/>
      <c r="P410" s="63"/>
      <c r="Q410" s="63">
        <f t="shared" si="21"/>
        <v>121.48</v>
      </c>
      <c r="R410" s="63">
        <f t="shared" si="22"/>
        <v>0</v>
      </c>
      <c r="S410" s="63">
        <f t="shared" si="23"/>
        <v>121.48</v>
      </c>
    </row>
    <row r="411" spans="1:19" s="77" customFormat="1" ht="12" x14ac:dyDescent="0.2">
      <c r="A411" s="68">
        <v>7352</v>
      </c>
      <c r="B411" s="68" t="s">
        <v>7660</v>
      </c>
      <c r="C411" s="88">
        <v>258</v>
      </c>
      <c r="D411" s="72" t="s">
        <v>7702</v>
      </c>
      <c r="E411" s="155" t="s">
        <v>19</v>
      </c>
      <c r="F411" s="74">
        <v>43008</v>
      </c>
      <c r="G411" s="95">
        <f>3.25+165.2</f>
        <v>168.45</v>
      </c>
      <c r="H411" s="63"/>
      <c r="I411" s="63"/>
      <c r="J411" s="63"/>
      <c r="K411" s="133"/>
      <c r="L411" s="63"/>
      <c r="M411" s="63"/>
      <c r="N411" s="63"/>
      <c r="O411" s="63"/>
      <c r="P411" s="63"/>
      <c r="Q411" s="63">
        <f t="shared" si="21"/>
        <v>168.45</v>
      </c>
      <c r="R411" s="63">
        <f t="shared" si="22"/>
        <v>0</v>
      </c>
      <c r="S411" s="63">
        <f t="shared" si="23"/>
        <v>168.45</v>
      </c>
    </row>
    <row r="412" spans="1:19" s="77" customFormat="1" ht="12" x14ac:dyDescent="0.2">
      <c r="A412" s="68">
        <v>5964</v>
      </c>
      <c r="B412" s="68" t="s">
        <v>7703</v>
      </c>
      <c r="C412" s="88">
        <v>259</v>
      </c>
      <c r="D412" s="72" t="s">
        <v>7719</v>
      </c>
      <c r="E412" s="155" t="s">
        <v>19</v>
      </c>
      <c r="F412" s="74">
        <v>43009</v>
      </c>
      <c r="G412" s="95">
        <f>1.3+120.36</f>
        <v>121.66</v>
      </c>
      <c r="H412" s="63"/>
      <c r="I412" s="63"/>
      <c r="J412" s="63"/>
      <c r="K412" s="133"/>
      <c r="L412" s="63"/>
      <c r="M412" s="63"/>
      <c r="N412" s="63"/>
      <c r="O412" s="63"/>
      <c r="P412" s="63"/>
      <c r="Q412" s="63">
        <f t="shared" si="21"/>
        <v>121.66</v>
      </c>
      <c r="R412" s="63">
        <f t="shared" si="22"/>
        <v>0</v>
      </c>
      <c r="S412" s="63">
        <f t="shared" si="23"/>
        <v>121.66</v>
      </c>
    </row>
    <row r="413" spans="1:19" s="77" customFormat="1" ht="12" x14ac:dyDescent="0.2">
      <c r="A413" s="68">
        <v>5964</v>
      </c>
      <c r="B413" s="68" t="s">
        <v>7703</v>
      </c>
      <c r="C413" s="88">
        <v>259</v>
      </c>
      <c r="D413" s="72" t="s">
        <v>7720</v>
      </c>
      <c r="E413" s="155" t="s">
        <v>19</v>
      </c>
      <c r="F413" s="74">
        <v>43009</v>
      </c>
      <c r="G413" s="95">
        <f>0.59+83.78</f>
        <v>84.37</v>
      </c>
      <c r="H413" s="63"/>
      <c r="I413" s="63"/>
      <c r="J413" s="63"/>
      <c r="K413" s="133"/>
      <c r="L413" s="63"/>
      <c r="M413" s="63"/>
      <c r="N413" s="63"/>
      <c r="O413" s="63"/>
      <c r="P413" s="63"/>
      <c r="Q413" s="63">
        <f t="shared" si="21"/>
        <v>84.37</v>
      </c>
      <c r="R413" s="63">
        <f t="shared" si="22"/>
        <v>0</v>
      </c>
      <c r="S413" s="63">
        <f t="shared" si="23"/>
        <v>84.37</v>
      </c>
    </row>
    <row r="414" spans="1:19" s="77" customFormat="1" ht="12" x14ac:dyDescent="0.2">
      <c r="A414" s="68">
        <v>11211</v>
      </c>
      <c r="B414" s="68" t="s">
        <v>4833</v>
      </c>
      <c r="C414" s="88">
        <v>260</v>
      </c>
      <c r="D414" s="72" t="s">
        <v>7721</v>
      </c>
      <c r="E414" s="155" t="s">
        <v>7741</v>
      </c>
      <c r="F414" s="74">
        <v>43009</v>
      </c>
      <c r="G414" s="95">
        <f>155.89</f>
        <v>155.88999999999999</v>
      </c>
      <c r="H414" s="63"/>
      <c r="I414" s="63"/>
      <c r="J414" s="63"/>
      <c r="K414" s="133"/>
      <c r="L414" s="63"/>
      <c r="M414" s="63"/>
      <c r="N414" s="63"/>
      <c r="O414" s="63"/>
      <c r="P414" s="63"/>
      <c r="Q414" s="63">
        <f t="shared" si="21"/>
        <v>155.88999999999999</v>
      </c>
      <c r="R414" s="63">
        <f t="shared" si="22"/>
        <v>0</v>
      </c>
      <c r="S414" s="63">
        <f t="shared" si="23"/>
        <v>155.88999999999999</v>
      </c>
    </row>
    <row r="415" spans="1:19" s="77" customFormat="1" ht="12" x14ac:dyDescent="0.2">
      <c r="A415" s="68">
        <v>9458</v>
      </c>
      <c r="B415" s="68" t="s">
        <v>7704</v>
      </c>
      <c r="C415" s="88">
        <v>261</v>
      </c>
      <c r="D415" s="72" t="s">
        <v>7722</v>
      </c>
      <c r="E415" s="155" t="s">
        <v>19</v>
      </c>
      <c r="F415" s="74">
        <v>43010</v>
      </c>
      <c r="G415" s="95">
        <f>41.3+1116+294.54</f>
        <v>1451.84</v>
      </c>
      <c r="H415" s="63"/>
      <c r="I415" s="63"/>
      <c r="J415" s="63"/>
      <c r="K415" s="133"/>
      <c r="L415" s="63"/>
      <c r="M415" s="63"/>
      <c r="N415" s="63"/>
      <c r="O415" s="63"/>
      <c r="P415" s="63"/>
      <c r="Q415" s="63">
        <f t="shared" si="21"/>
        <v>1451.84</v>
      </c>
      <c r="R415" s="63">
        <f t="shared" si="22"/>
        <v>0</v>
      </c>
      <c r="S415" s="63">
        <f t="shared" si="23"/>
        <v>1451.84</v>
      </c>
    </row>
    <row r="416" spans="1:19" s="77" customFormat="1" ht="12" x14ac:dyDescent="0.2">
      <c r="A416" s="68">
        <v>146922</v>
      </c>
      <c r="B416" s="68" t="s">
        <v>7705</v>
      </c>
      <c r="C416" s="88">
        <v>262</v>
      </c>
      <c r="D416" s="72" t="s">
        <v>7723</v>
      </c>
      <c r="E416" s="155" t="s">
        <v>19</v>
      </c>
      <c r="F416" s="74">
        <v>43010</v>
      </c>
      <c r="G416" s="95">
        <f>394.01+300</f>
        <v>694.01</v>
      </c>
      <c r="H416" s="63"/>
      <c r="I416" s="63"/>
      <c r="J416" s="63"/>
      <c r="K416" s="133"/>
      <c r="L416" s="63"/>
      <c r="M416" s="63"/>
      <c r="N416" s="63"/>
      <c r="O416" s="63"/>
      <c r="P416" s="63"/>
      <c r="Q416" s="63">
        <f t="shared" si="21"/>
        <v>694.01</v>
      </c>
      <c r="R416" s="63">
        <f t="shared" si="22"/>
        <v>0</v>
      </c>
      <c r="S416" s="63">
        <f t="shared" si="23"/>
        <v>694.01</v>
      </c>
    </row>
    <row r="417" spans="1:19" s="77" customFormat="1" ht="12" x14ac:dyDescent="0.2">
      <c r="A417" s="68">
        <v>146425</v>
      </c>
      <c r="B417" s="68" t="s">
        <v>7706</v>
      </c>
      <c r="C417" s="88">
        <v>263</v>
      </c>
      <c r="D417" s="72" t="s">
        <v>7724</v>
      </c>
      <c r="E417" s="155" t="s">
        <v>19</v>
      </c>
      <c r="F417" s="74">
        <v>43011</v>
      </c>
      <c r="G417" s="95">
        <f>1.18+120.36</f>
        <v>121.54</v>
      </c>
      <c r="H417" s="63"/>
      <c r="I417" s="63"/>
      <c r="J417" s="63"/>
      <c r="K417" s="133"/>
      <c r="L417" s="63"/>
      <c r="M417" s="63"/>
      <c r="N417" s="63"/>
      <c r="O417" s="63"/>
      <c r="P417" s="63"/>
      <c r="Q417" s="63">
        <f t="shared" si="21"/>
        <v>121.54</v>
      </c>
      <c r="R417" s="63">
        <f t="shared" si="22"/>
        <v>0</v>
      </c>
      <c r="S417" s="63">
        <f t="shared" si="23"/>
        <v>121.54</v>
      </c>
    </row>
    <row r="418" spans="1:19" s="77" customFormat="1" ht="12" x14ac:dyDescent="0.2">
      <c r="A418" s="68">
        <v>146562</v>
      </c>
      <c r="B418" s="68" t="s">
        <v>7707</v>
      </c>
      <c r="C418" s="88">
        <v>264</v>
      </c>
      <c r="D418" s="72" t="s">
        <v>7725</v>
      </c>
      <c r="E418" s="155" t="s">
        <v>19</v>
      </c>
      <c r="F418" s="74">
        <v>43011</v>
      </c>
      <c r="G418" s="95">
        <f>352.6</f>
        <v>352.6</v>
      </c>
      <c r="H418" s="63"/>
      <c r="I418" s="63"/>
      <c r="J418" s="63"/>
      <c r="K418" s="133"/>
      <c r="L418" s="63"/>
      <c r="M418" s="63"/>
      <c r="N418" s="63"/>
      <c r="O418" s="63"/>
      <c r="P418" s="63"/>
      <c r="Q418" s="63">
        <f t="shared" si="21"/>
        <v>352.6</v>
      </c>
      <c r="R418" s="63">
        <f t="shared" si="22"/>
        <v>0</v>
      </c>
      <c r="S418" s="63">
        <f t="shared" si="23"/>
        <v>352.6</v>
      </c>
    </row>
    <row r="419" spans="1:19" s="77" customFormat="1" ht="12" x14ac:dyDescent="0.2">
      <c r="A419" s="68">
        <v>9307</v>
      </c>
      <c r="B419" s="68" t="s">
        <v>7708</v>
      </c>
      <c r="C419" s="88">
        <v>265</v>
      </c>
      <c r="D419" s="72" t="s">
        <v>7726</v>
      </c>
      <c r="E419" s="155" t="s">
        <v>19</v>
      </c>
      <c r="F419" s="74">
        <v>43012</v>
      </c>
      <c r="G419" s="95">
        <f>2982.49</f>
        <v>2982.49</v>
      </c>
      <c r="H419" s="63"/>
      <c r="I419" s="63"/>
      <c r="J419" s="63"/>
      <c r="K419" s="133"/>
      <c r="L419" s="63"/>
      <c r="M419" s="63"/>
      <c r="N419" s="63"/>
      <c r="O419" s="63"/>
      <c r="P419" s="63"/>
      <c r="Q419" s="63">
        <f t="shared" si="21"/>
        <v>2982.49</v>
      </c>
      <c r="R419" s="63">
        <f t="shared" si="22"/>
        <v>0</v>
      </c>
      <c r="S419" s="63">
        <f t="shared" si="23"/>
        <v>2982.49</v>
      </c>
    </row>
    <row r="420" spans="1:19" s="77" customFormat="1" ht="12" x14ac:dyDescent="0.2">
      <c r="A420" s="68">
        <v>14999</v>
      </c>
      <c r="B420" s="68" t="s">
        <v>7709</v>
      </c>
      <c r="C420" s="88">
        <v>266</v>
      </c>
      <c r="D420" s="72" t="s">
        <v>7727</v>
      </c>
      <c r="E420" s="155" t="s">
        <v>19</v>
      </c>
      <c r="F420" s="74">
        <v>43014</v>
      </c>
      <c r="G420" s="95">
        <f>1366.6+18169.96</f>
        <v>19536.559999999998</v>
      </c>
      <c r="H420" s="63"/>
      <c r="I420" s="63"/>
      <c r="J420" s="63"/>
      <c r="K420" s="133"/>
      <c r="L420" s="63"/>
      <c r="M420" s="63"/>
      <c r="N420" s="63"/>
      <c r="O420" s="63"/>
      <c r="P420" s="63"/>
      <c r="Q420" s="63">
        <f t="shared" si="21"/>
        <v>19536.559999999998</v>
      </c>
      <c r="R420" s="63">
        <f t="shared" si="22"/>
        <v>0</v>
      </c>
      <c r="S420" s="63">
        <f t="shared" si="23"/>
        <v>19536.559999999998</v>
      </c>
    </row>
    <row r="421" spans="1:19" s="77" customFormat="1" ht="12" x14ac:dyDescent="0.2">
      <c r="A421" s="68">
        <v>2438</v>
      </c>
      <c r="B421" s="68" t="s">
        <v>7710</v>
      </c>
      <c r="C421" s="88">
        <v>267</v>
      </c>
      <c r="D421" s="72" t="s">
        <v>7728</v>
      </c>
      <c r="E421" s="155" t="s">
        <v>19</v>
      </c>
      <c r="F421" s="74">
        <v>43015</v>
      </c>
      <c r="G421" s="95">
        <f>22.6+358.72</f>
        <v>381.32000000000005</v>
      </c>
      <c r="H421" s="63"/>
      <c r="I421" s="63"/>
      <c r="J421" s="63"/>
      <c r="K421" s="133"/>
      <c r="L421" s="63"/>
      <c r="M421" s="63"/>
      <c r="N421" s="63"/>
      <c r="O421" s="63"/>
      <c r="P421" s="63"/>
      <c r="Q421" s="63">
        <f t="shared" si="21"/>
        <v>381.32000000000005</v>
      </c>
      <c r="R421" s="63">
        <f t="shared" si="22"/>
        <v>0</v>
      </c>
      <c r="S421" s="63">
        <f t="shared" si="23"/>
        <v>381.32000000000005</v>
      </c>
    </row>
    <row r="422" spans="1:19" s="77" customFormat="1" ht="12" x14ac:dyDescent="0.2">
      <c r="A422" s="68">
        <v>12703</v>
      </c>
      <c r="B422" s="68" t="s">
        <v>7711</v>
      </c>
      <c r="C422" s="88">
        <v>268</v>
      </c>
      <c r="D422" s="72" t="s">
        <v>7729</v>
      </c>
      <c r="E422" s="155" t="s">
        <v>19</v>
      </c>
      <c r="F422" s="74">
        <v>43016</v>
      </c>
      <c r="G422" s="95">
        <f>120.5+41.3+41.23+56.27+41.3+180.21+290+138.67+41.3+41.3+97.41+86.1+41.3</f>
        <v>1216.8899999999999</v>
      </c>
      <c r="H422" s="63"/>
      <c r="I422" s="63">
        <v>340</v>
      </c>
      <c r="J422" s="63"/>
      <c r="K422" s="133"/>
      <c r="L422" s="63"/>
      <c r="M422" s="63"/>
      <c r="N422" s="63"/>
      <c r="O422" s="63"/>
      <c r="P422" s="63"/>
      <c r="Q422" s="63">
        <f t="shared" si="21"/>
        <v>1556.8899999999999</v>
      </c>
      <c r="R422" s="63">
        <f t="shared" si="22"/>
        <v>0</v>
      </c>
      <c r="S422" s="63">
        <f t="shared" si="23"/>
        <v>1556.8899999999999</v>
      </c>
    </row>
    <row r="423" spans="1:19" s="77" customFormat="1" ht="12" x14ac:dyDescent="0.2">
      <c r="A423" s="68">
        <v>12703</v>
      </c>
      <c r="B423" s="68" t="s">
        <v>7711</v>
      </c>
      <c r="C423" s="88">
        <v>268</v>
      </c>
      <c r="D423" s="72" t="s">
        <v>7730</v>
      </c>
      <c r="E423" s="155" t="s">
        <v>19</v>
      </c>
      <c r="F423" s="74">
        <v>43016</v>
      </c>
      <c r="G423" s="95">
        <f>100.84+131.19</f>
        <v>232.03</v>
      </c>
      <c r="H423" s="63"/>
      <c r="I423" s="63">
        <v>850</v>
      </c>
      <c r="J423" s="63"/>
      <c r="K423" s="133"/>
      <c r="L423" s="63"/>
      <c r="M423" s="63"/>
      <c r="N423" s="63"/>
      <c r="O423" s="63"/>
      <c r="P423" s="63"/>
      <c r="Q423" s="63">
        <f t="shared" si="21"/>
        <v>1082.03</v>
      </c>
      <c r="R423" s="63">
        <f t="shared" si="22"/>
        <v>0</v>
      </c>
      <c r="S423" s="63">
        <f t="shared" si="23"/>
        <v>1082.03</v>
      </c>
    </row>
    <row r="424" spans="1:19" s="77" customFormat="1" ht="12" x14ac:dyDescent="0.2">
      <c r="A424" s="68">
        <v>4007</v>
      </c>
      <c r="B424" s="68" t="s">
        <v>7712</v>
      </c>
      <c r="C424" s="88">
        <v>269</v>
      </c>
      <c r="D424" s="72" t="s">
        <v>7731</v>
      </c>
      <c r="E424" s="155" t="s">
        <v>19</v>
      </c>
      <c r="F424" s="74">
        <v>43019</v>
      </c>
      <c r="G424" s="95">
        <f>792.3+71.65+4282.39+700+63</f>
        <v>5909.34</v>
      </c>
      <c r="H424" s="63"/>
      <c r="I424" s="63"/>
      <c r="J424" s="63"/>
      <c r="K424" s="133"/>
      <c r="L424" s="63"/>
      <c r="M424" s="63"/>
      <c r="N424" s="63"/>
      <c r="O424" s="63"/>
      <c r="P424" s="63"/>
      <c r="Q424" s="63">
        <f t="shared" si="21"/>
        <v>5909.34</v>
      </c>
      <c r="R424" s="63">
        <f t="shared" si="22"/>
        <v>0</v>
      </c>
      <c r="S424" s="63">
        <f t="shared" si="23"/>
        <v>5909.34</v>
      </c>
    </row>
    <row r="425" spans="1:19" s="77" customFormat="1" ht="12" x14ac:dyDescent="0.2">
      <c r="A425" s="68">
        <v>148406</v>
      </c>
      <c r="B425" s="68" t="s">
        <v>7713</v>
      </c>
      <c r="C425" s="88">
        <v>270</v>
      </c>
      <c r="D425" s="72" t="s">
        <v>7732</v>
      </c>
      <c r="E425" s="155" t="s">
        <v>19</v>
      </c>
      <c r="F425" s="74">
        <v>43020</v>
      </c>
      <c r="G425" s="95">
        <f>60.06</f>
        <v>60.06</v>
      </c>
      <c r="H425" s="63"/>
      <c r="I425" s="63"/>
      <c r="J425" s="63"/>
      <c r="K425" s="133"/>
      <c r="L425" s="63"/>
      <c r="M425" s="63"/>
      <c r="N425" s="63"/>
      <c r="O425" s="63"/>
      <c r="P425" s="63"/>
      <c r="Q425" s="63">
        <f t="shared" si="21"/>
        <v>60.06</v>
      </c>
      <c r="R425" s="63">
        <f t="shared" si="22"/>
        <v>0</v>
      </c>
      <c r="S425" s="63">
        <f t="shared" si="23"/>
        <v>60.06</v>
      </c>
    </row>
    <row r="426" spans="1:19" s="77" customFormat="1" ht="12" x14ac:dyDescent="0.2">
      <c r="A426" s="68">
        <v>148406</v>
      </c>
      <c r="B426" s="68" t="s">
        <v>7713</v>
      </c>
      <c r="C426" s="88">
        <v>270</v>
      </c>
      <c r="D426" s="72" t="s">
        <v>7733</v>
      </c>
      <c r="E426" s="155" t="s">
        <v>19</v>
      </c>
      <c r="F426" s="74">
        <v>43020</v>
      </c>
      <c r="G426" s="95">
        <f>124.02</f>
        <v>124.02</v>
      </c>
      <c r="H426" s="63"/>
      <c r="I426" s="63"/>
      <c r="J426" s="63"/>
      <c r="K426" s="133"/>
      <c r="L426" s="63"/>
      <c r="M426" s="63"/>
      <c r="N426" s="63"/>
      <c r="O426" s="63"/>
      <c r="P426" s="63"/>
      <c r="Q426" s="63">
        <f t="shared" si="21"/>
        <v>124.02</v>
      </c>
      <c r="R426" s="63">
        <f t="shared" si="22"/>
        <v>0</v>
      </c>
      <c r="S426" s="63">
        <f t="shared" si="23"/>
        <v>124.02</v>
      </c>
    </row>
    <row r="427" spans="1:19" s="77" customFormat="1" ht="12" x14ac:dyDescent="0.2">
      <c r="A427" s="68">
        <v>148406</v>
      </c>
      <c r="B427" s="68" t="s">
        <v>7713</v>
      </c>
      <c r="C427" s="88">
        <v>270</v>
      </c>
      <c r="D427" s="72" t="s">
        <v>7734</v>
      </c>
      <c r="E427" s="155" t="s">
        <v>19</v>
      </c>
      <c r="F427" s="74">
        <v>43020</v>
      </c>
      <c r="G427" s="95">
        <f>58.88</f>
        <v>58.88</v>
      </c>
      <c r="H427" s="63"/>
      <c r="I427" s="63"/>
      <c r="J427" s="63"/>
      <c r="K427" s="133"/>
      <c r="L427" s="63"/>
      <c r="M427" s="63"/>
      <c r="N427" s="63"/>
      <c r="O427" s="63"/>
      <c r="P427" s="63"/>
      <c r="Q427" s="63">
        <f t="shared" si="21"/>
        <v>58.88</v>
      </c>
      <c r="R427" s="63">
        <f t="shared" si="22"/>
        <v>0</v>
      </c>
      <c r="S427" s="63">
        <f t="shared" si="23"/>
        <v>58.88</v>
      </c>
    </row>
    <row r="428" spans="1:19" s="77" customFormat="1" ht="12" x14ac:dyDescent="0.2">
      <c r="A428" s="68">
        <v>4952</v>
      </c>
      <c r="B428" s="68" t="s">
        <v>7714</v>
      </c>
      <c r="C428" s="88">
        <v>271</v>
      </c>
      <c r="D428" s="72" t="s">
        <v>7735</v>
      </c>
      <c r="E428" s="155" t="s">
        <v>7127</v>
      </c>
      <c r="F428" s="74">
        <v>43020</v>
      </c>
      <c r="G428" s="95">
        <f>283</f>
        <v>283</v>
      </c>
      <c r="H428" s="63"/>
      <c r="I428" s="63">
        <v>850</v>
      </c>
      <c r="J428" s="63"/>
      <c r="K428" s="133"/>
      <c r="L428" s="63"/>
      <c r="M428" s="63"/>
      <c r="N428" s="63"/>
      <c r="O428" s="63"/>
      <c r="P428" s="63"/>
      <c r="Q428" s="63">
        <f t="shared" si="21"/>
        <v>1133</v>
      </c>
      <c r="R428" s="63">
        <f t="shared" si="22"/>
        <v>0</v>
      </c>
      <c r="S428" s="63">
        <f t="shared" si="23"/>
        <v>1133</v>
      </c>
    </row>
    <row r="429" spans="1:19" s="77" customFormat="1" ht="12" x14ac:dyDescent="0.2">
      <c r="A429" s="68">
        <v>10738</v>
      </c>
      <c r="B429" s="68" t="s">
        <v>7715</v>
      </c>
      <c r="C429" s="88">
        <v>272</v>
      </c>
      <c r="D429" s="72" t="s">
        <v>7736</v>
      </c>
      <c r="E429" s="155" t="s">
        <v>19</v>
      </c>
      <c r="F429" s="74">
        <v>43021</v>
      </c>
      <c r="G429" s="95">
        <f>130.6</f>
        <v>130.6</v>
      </c>
      <c r="H429" s="63"/>
      <c r="I429" s="63"/>
      <c r="J429" s="63"/>
      <c r="K429" s="133"/>
      <c r="L429" s="63"/>
      <c r="M429" s="63"/>
      <c r="N429" s="63"/>
      <c r="O429" s="63"/>
      <c r="P429" s="63"/>
      <c r="Q429" s="63">
        <f t="shared" si="21"/>
        <v>130.6</v>
      </c>
      <c r="R429" s="63">
        <f t="shared" si="22"/>
        <v>0</v>
      </c>
      <c r="S429" s="63">
        <f t="shared" si="23"/>
        <v>130.6</v>
      </c>
    </row>
    <row r="430" spans="1:19" s="77" customFormat="1" ht="12" x14ac:dyDescent="0.2">
      <c r="A430" s="68">
        <v>10738</v>
      </c>
      <c r="B430" s="68" t="s">
        <v>7715</v>
      </c>
      <c r="C430" s="88">
        <v>272</v>
      </c>
      <c r="D430" s="72" t="s">
        <v>7737</v>
      </c>
      <c r="E430" s="155" t="s">
        <v>19</v>
      </c>
      <c r="F430" s="74">
        <v>43021</v>
      </c>
      <c r="G430" s="95">
        <f>185+185+105</f>
        <v>475</v>
      </c>
      <c r="H430" s="63"/>
      <c r="I430" s="63">
        <f>396.67</f>
        <v>396.67</v>
      </c>
      <c r="J430" s="63"/>
      <c r="K430" s="133"/>
      <c r="L430" s="63"/>
      <c r="M430" s="63"/>
      <c r="N430" s="63"/>
      <c r="O430" s="63"/>
      <c r="P430" s="63"/>
      <c r="Q430" s="63">
        <f t="shared" si="21"/>
        <v>871.67000000000007</v>
      </c>
      <c r="R430" s="63">
        <f t="shared" si="22"/>
        <v>0</v>
      </c>
      <c r="S430" s="63">
        <f t="shared" si="23"/>
        <v>871.67000000000007</v>
      </c>
    </row>
    <row r="431" spans="1:19" s="77" customFormat="1" ht="12" x14ac:dyDescent="0.2">
      <c r="A431" s="68">
        <v>146561</v>
      </c>
      <c r="B431" s="68" t="s">
        <v>7716</v>
      </c>
      <c r="C431" s="88">
        <v>273</v>
      </c>
      <c r="D431" s="72" t="s">
        <v>7738</v>
      </c>
      <c r="E431" s="155" t="s">
        <v>19</v>
      </c>
      <c r="F431" s="74">
        <v>43023</v>
      </c>
      <c r="G431" s="95">
        <f>558+20.65+636.02+40+35+200</f>
        <v>1489.67</v>
      </c>
      <c r="H431" s="63"/>
      <c r="I431" s="63">
        <v>2210</v>
      </c>
      <c r="J431" s="63"/>
      <c r="K431" s="133"/>
      <c r="L431" s="63"/>
      <c r="M431" s="63"/>
      <c r="N431" s="63"/>
      <c r="O431" s="63"/>
      <c r="P431" s="63"/>
      <c r="Q431" s="63">
        <f t="shared" si="21"/>
        <v>3699.67</v>
      </c>
      <c r="R431" s="63">
        <f t="shared" si="22"/>
        <v>0</v>
      </c>
      <c r="S431" s="63">
        <f t="shared" si="23"/>
        <v>3699.67</v>
      </c>
    </row>
    <row r="432" spans="1:19" s="77" customFormat="1" ht="12" x14ac:dyDescent="0.2">
      <c r="A432" s="68">
        <v>1999</v>
      </c>
      <c r="B432" s="68" t="s">
        <v>7717</v>
      </c>
      <c r="C432" s="88">
        <v>274</v>
      </c>
      <c r="D432" s="72" t="s">
        <v>7739</v>
      </c>
      <c r="E432" s="155" t="s">
        <v>19</v>
      </c>
      <c r="F432" s="74">
        <v>43023</v>
      </c>
      <c r="G432" s="95">
        <f>193</f>
        <v>193</v>
      </c>
      <c r="H432" s="63"/>
      <c r="I432" s="63"/>
      <c r="J432" s="63"/>
      <c r="K432" s="133"/>
      <c r="L432" s="63"/>
      <c r="M432" s="63"/>
      <c r="N432" s="63"/>
      <c r="O432" s="63"/>
      <c r="P432" s="63"/>
      <c r="Q432" s="63">
        <f t="shared" si="21"/>
        <v>193</v>
      </c>
      <c r="R432" s="63">
        <f t="shared" si="22"/>
        <v>0</v>
      </c>
      <c r="S432" s="63">
        <f t="shared" si="23"/>
        <v>193</v>
      </c>
    </row>
    <row r="433" spans="1:19" s="77" customFormat="1" ht="12" x14ac:dyDescent="0.2">
      <c r="A433" s="68">
        <v>5928</v>
      </c>
      <c r="B433" s="68" t="s">
        <v>7718</v>
      </c>
      <c r="C433" s="88">
        <v>275</v>
      </c>
      <c r="D433" s="72" t="s">
        <v>7740</v>
      </c>
      <c r="E433" s="155" t="s">
        <v>19</v>
      </c>
      <c r="F433" s="74">
        <v>43026</v>
      </c>
      <c r="G433" s="95">
        <f>155.81+41.3+236+76.95+75.83+30</f>
        <v>615.89</v>
      </c>
      <c r="H433" s="63"/>
      <c r="I433" s="63"/>
      <c r="J433" s="63"/>
      <c r="K433" s="133"/>
      <c r="L433" s="63"/>
      <c r="M433" s="63"/>
      <c r="N433" s="63"/>
      <c r="O433" s="63"/>
      <c r="P433" s="63"/>
      <c r="Q433" s="63">
        <f t="shared" si="21"/>
        <v>615.89</v>
      </c>
      <c r="R433" s="63">
        <f t="shared" si="22"/>
        <v>0</v>
      </c>
      <c r="S433" s="63">
        <f t="shared" si="23"/>
        <v>615.89</v>
      </c>
    </row>
    <row r="434" spans="1:19" s="77" customFormat="1" ht="12" x14ac:dyDescent="0.2">
      <c r="A434" s="68">
        <v>14908</v>
      </c>
      <c r="B434" s="68" t="s">
        <v>7742</v>
      </c>
      <c r="C434" s="88">
        <v>276</v>
      </c>
      <c r="D434" s="72" t="s">
        <v>7752</v>
      </c>
      <c r="E434" s="155" t="s">
        <v>19</v>
      </c>
      <c r="F434" s="74">
        <v>43028</v>
      </c>
      <c r="G434" s="95">
        <f>283.34</f>
        <v>283.33999999999997</v>
      </c>
      <c r="H434" s="63"/>
      <c r="I434" s="63"/>
      <c r="J434" s="63"/>
      <c r="K434" s="133"/>
      <c r="L434" s="63"/>
      <c r="M434" s="63"/>
      <c r="N434" s="63"/>
      <c r="O434" s="63"/>
      <c r="P434" s="63"/>
      <c r="Q434" s="63">
        <f t="shared" si="21"/>
        <v>283.33999999999997</v>
      </c>
      <c r="R434" s="63">
        <f t="shared" si="22"/>
        <v>0</v>
      </c>
      <c r="S434" s="63">
        <f t="shared" si="23"/>
        <v>283.33999999999997</v>
      </c>
    </row>
    <row r="435" spans="1:19" s="77" customFormat="1" ht="12" x14ac:dyDescent="0.2">
      <c r="A435" s="68">
        <v>14908</v>
      </c>
      <c r="B435" s="68" t="s">
        <v>7742</v>
      </c>
      <c r="C435" s="88">
        <v>276</v>
      </c>
      <c r="D435" s="72" t="s">
        <v>7753</v>
      </c>
      <c r="E435" s="155" t="s">
        <v>19</v>
      </c>
      <c r="F435" s="74">
        <v>43028</v>
      </c>
      <c r="G435" s="95">
        <f>114.89</f>
        <v>114.89</v>
      </c>
      <c r="H435" s="63"/>
      <c r="I435" s="63"/>
      <c r="J435" s="63"/>
      <c r="K435" s="133"/>
      <c r="L435" s="63"/>
      <c r="M435" s="63"/>
      <c r="N435" s="63"/>
      <c r="O435" s="63"/>
      <c r="P435" s="63"/>
      <c r="Q435" s="63">
        <f t="shared" si="21"/>
        <v>114.89</v>
      </c>
      <c r="R435" s="63">
        <f t="shared" si="22"/>
        <v>0</v>
      </c>
      <c r="S435" s="63">
        <f t="shared" si="23"/>
        <v>114.89</v>
      </c>
    </row>
    <row r="436" spans="1:19" s="77" customFormat="1" ht="12" x14ac:dyDescent="0.2">
      <c r="A436" s="68">
        <v>8501</v>
      </c>
      <c r="B436" s="68" t="s">
        <v>7743</v>
      </c>
      <c r="C436" s="88">
        <v>277</v>
      </c>
      <c r="D436" s="72" t="s">
        <v>7754</v>
      </c>
      <c r="E436" s="155" t="s">
        <v>19</v>
      </c>
      <c r="F436" s="74">
        <v>43032</v>
      </c>
      <c r="G436" s="95">
        <f>2.83+171.1</f>
        <v>173.93</v>
      </c>
      <c r="H436" s="63"/>
      <c r="I436" s="63"/>
      <c r="J436" s="63"/>
      <c r="K436" s="133"/>
      <c r="L436" s="63"/>
      <c r="M436" s="63"/>
      <c r="N436" s="63"/>
      <c r="O436" s="63"/>
      <c r="P436" s="63"/>
      <c r="Q436" s="63">
        <f t="shared" si="21"/>
        <v>173.93</v>
      </c>
      <c r="R436" s="63">
        <f t="shared" si="22"/>
        <v>0</v>
      </c>
      <c r="S436" s="63">
        <f t="shared" si="23"/>
        <v>173.93</v>
      </c>
    </row>
    <row r="437" spans="1:19" s="77" customFormat="1" ht="12" x14ac:dyDescent="0.2">
      <c r="A437" s="68">
        <v>8501</v>
      </c>
      <c r="B437" s="68" t="s">
        <v>7743</v>
      </c>
      <c r="C437" s="88">
        <v>277</v>
      </c>
      <c r="D437" s="72" t="s">
        <v>7755</v>
      </c>
      <c r="E437" s="155" t="s">
        <v>19</v>
      </c>
      <c r="F437" s="74">
        <v>43032</v>
      </c>
      <c r="G437" s="95">
        <v>47.2</v>
      </c>
      <c r="H437" s="63"/>
      <c r="I437" s="63"/>
      <c r="J437" s="63"/>
      <c r="K437" s="133"/>
      <c r="L437" s="63"/>
      <c r="M437" s="63"/>
      <c r="N437" s="63"/>
      <c r="O437" s="63"/>
      <c r="P437" s="63"/>
      <c r="Q437" s="63">
        <f t="shared" si="21"/>
        <v>47.2</v>
      </c>
      <c r="R437" s="63">
        <f t="shared" si="22"/>
        <v>0</v>
      </c>
      <c r="S437" s="63">
        <f t="shared" si="23"/>
        <v>47.2</v>
      </c>
    </row>
    <row r="438" spans="1:19" s="77" customFormat="1" ht="12" x14ac:dyDescent="0.2">
      <c r="A438" s="68">
        <v>4239</v>
      </c>
      <c r="B438" s="68" t="s">
        <v>7744</v>
      </c>
      <c r="C438" s="88">
        <v>278</v>
      </c>
      <c r="D438" s="72" t="s">
        <v>7756</v>
      </c>
      <c r="E438" s="155" t="s">
        <v>19</v>
      </c>
      <c r="F438" s="74">
        <v>43032</v>
      </c>
      <c r="G438" s="95">
        <f>8582.4+46.08+66.07+169.73+457.9+103.88+353.75+139.87+130.48+416.25</f>
        <v>10466.409999999998</v>
      </c>
      <c r="H438" s="63"/>
      <c r="I438" s="63">
        <f>3400</f>
        <v>3400</v>
      </c>
      <c r="J438" s="63"/>
      <c r="K438" s="133"/>
      <c r="L438" s="63"/>
      <c r="M438" s="63"/>
      <c r="N438" s="63"/>
      <c r="O438" s="63"/>
      <c r="P438" s="63"/>
      <c r="Q438" s="63">
        <f t="shared" si="21"/>
        <v>13866.409999999998</v>
      </c>
      <c r="R438" s="63">
        <f t="shared" si="22"/>
        <v>0</v>
      </c>
      <c r="S438" s="63">
        <f t="shared" si="23"/>
        <v>13866.409999999998</v>
      </c>
    </row>
    <row r="439" spans="1:19" s="77" customFormat="1" ht="12" x14ac:dyDescent="0.2">
      <c r="A439" s="68">
        <v>4212</v>
      </c>
      <c r="B439" s="68" t="s">
        <v>7745</v>
      </c>
      <c r="C439" s="88">
        <v>279</v>
      </c>
      <c r="D439" s="72" t="s">
        <v>7757</v>
      </c>
      <c r="E439" s="155" t="s">
        <v>19</v>
      </c>
      <c r="F439" s="74">
        <v>43034</v>
      </c>
      <c r="G439" s="95">
        <f>3.42+94.4</f>
        <v>97.820000000000007</v>
      </c>
      <c r="H439" s="63"/>
      <c r="I439" s="63"/>
      <c r="J439" s="63"/>
      <c r="K439" s="133"/>
      <c r="L439" s="63"/>
      <c r="M439" s="63"/>
      <c r="N439" s="63"/>
      <c r="O439" s="63"/>
      <c r="P439" s="63"/>
      <c r="Q439" s="63">
        <f t="shared" si="21"/>
        <v>97.820000000000007</v>
      </c>
      <c r="R439" s="63">
        <f t="shared" si="22"/>
        <v>0</v>
      </c>
      <c r="S439" s="63">
        <f t="shared" si="23"/>
        <v>97.820000000000007</v>
      </c>
    </row>
    <row r="440" spans="1:19" s="77" customFormat="1" ht="12" x14ac:dyDescent="0.2">
      <c r="A440" s="68">
        <v>145902</v>
      </c>
      <c r="B440" s="68" t="s">
        <v>7746</v>
      </c>
      <c r="C440" s="88">
        <v>280</v>
      </c>
      <c r="D440" s="72" t="s">
        <v>7758</v>
      </c>
      <c r="E440" s="155" t="s">
        <v>19</v>
      </c>
      <c r="F440" s="74">
        <v>43035</v>
      </c>
      <c r="G440" s="95">
        <f>106.1</f>
        <v>106.1</v>
      </c>
      <c r="H440" s="63"/>
      <c r="I440" s="63"/>
      <c r="J440" s="63"/>
      <c r="K440" s="133"/>
      <c r="L440" s="63"/>
      <c r="M440" s="63"/>
      <c r="N440" s="63"/>
      <c r="O440" s="63"/>
      <c r="P440" s="63"/>
      <c r="Q440" s="63">
        <f t="shared" si="21"/>
        <v>106.1</v>
      </c>
      <c r="R440" s="63">
        <f t="shared" si="22"/>
        <v>0</v>
      </c>
      <c r="S440" s="63">
        <f t="shared" si="23"/>
        <v>106.1</v>
      </c>
    </row>
    <row r="441" spans="1:19" s="77" customFormat="1" ht="12" x14ac:dyDescent="0.2">
      <c r="A441" s="68">
        <v>145902</v>
      </c>
      <c r="B441" s="68" t="s">
        <v>7746</v>
      </c>
      <c r="C441" s="88">
        <v>280</v>
      </c>
      <c r="D441" s="72" t="s">
        <v>7759</v>
      </c>
      <c r="E441" s="155" t="s">
        <v>19</v>
      </c>
      <c r="F441" s="74">
        <v>43035</v>
      </c>
      <c r="G441" s="95">
        <f>238+723.9+120.4</f>
        <v>1082.3</v>
      </c>
      <c r="H441" s="63"/>
      <c r="I441" s="63">
        <f>283.33</f>
        <v>283.33</v>
      </c>
      <c r="J441" s="63"/>
      <c r="K441" s="133"/>
      <c r="L441" s="63"/>
      <c r="M441" s="63"/>
      <c r="N441" s="63"/>
      <c r="O441" s="63"/>
      <c r="P441" s="63"/>
      <c r="Q441" s="63">
        <f t="shared" si="21"/>
        <v>1365.6299999999999</v>
      </c>
      <c r="R441" s="63">
        <f t="shared" si="22"/>
        <v>0</v>
      </c>
      <c r="S441" s="63">
        <f t="shared" si="23"/>
        <v>1365.6299999999999</v>
      </c>
    </row>
    <row r="442" spans="1:19" s="77" customFormat="1" ht="12" x14ac:dyDescent="0.2">
      <c r="A442" s="68">
        <v>6782</v>
      </c>
      <c r="B442" s="68" t="s">
        <v>7747</v>
      </c>
      <c r="C442" s="88">
        <v>281</v>
      </c>
      <c r="D442" s="72" t="s">
        <v>7760</v>
      </c>
      <c r="E442" s="155" t="s">
        <v>19</v>
      </c>
      <c r="F442" s="74">
        <v>43035</v>
      </c>
      <c r="G442" s="95">
        <f>13613.54+58.91+146.95+187.27</f>
        <v>14006.670000000002</v>
      </c>
      <c r="H442" s="63"/>
      <c r="I442" s="63">
        <f>2550+1500</f>
        <v>4050</v>
      </c>
      <c r="J442" s="63"/>
      <c r="K442" s="133"/>
      <c r="L442" s="63"/>
      <c r="M442" s="63"/>
      <c r="N442" s="63"/>
      <c r="O442" s="63"/>
      <c r="P442" s="63"/>
      <c r="Q442" s="63">
        <f t="shared" si="21"/>
        <v>18056.670000000002</v>
      </c>
      <c r="R442" s="63">
        <f t="shared" si="22"/>
        <v>0</v>
      </c>
      <c r="S442" s="63">
        <f t="shared" si="23"/>
        <v>18056.670000000002</v>
      </c>
    </row>
    <row r="443" spans="1:19" s="77" customFormat="1" ht="12" x14ac:dyDescent="0.2">
      <c r="A443" s="68">
        <v>146416</v>
      </c>
      <c r="B443" s="68" t="s">
        <v>7748</v>
      </c>
      <c r="C443" s="88">
        <v>282</v>
      </c>
      <c r="D443" s="72" t="s">
        <v>7761</v>
      </c>
      <c r="E443" s="155" t="s">
        <v>19</v>
      </c>
      <c r="F443" s="74">
        <v>43036</v>
      </c>
      <c r="G443" s="95">
        <f>194.81+180.45+144.04+118.06+103.56+400+1.48+140.42+41.3+312.09+134.9+41.3+65.5</f>
        <v>1877.9099999999999</v>
      </c>
      <c r="H443" s="63"/>
      <c r="I443" s="63">
        <v>3400</v>
      </c>
      <c r="J443" s="63"/>
      <c r="K443" s="133"/>
      <c r="L443" s="63"/>
      <c r="M443" s="63"/>
      <c r="N443" s="63"/>
      <c r="O443" s="63"/>
      <c r="P443" s="63"/>
      <c r="Q443" s="63">
        <f t="shared" si="21"/>
        <v>5277.91</v>
      </c>
      <c r="R443" s="63">
        <f t="shared" si="22"/>
        <v>0</v>
      </c>
      <c r="S443" s="63">
        <f t="shared" si="23"/>
        <v>5277.91</v>
      </c>
    </row>
    <row r="444" spans="1:19" s="77" customFormat="1" ht="12" x14ac:dyDescent="0.2">
      <c r="A444" s="68">
        <v>148903</v>
      </c>
      <c r="B444" s="68" t="s">
        <v>7749</v>
      </c>
      <c r="C444" s="88">
        <v>283</v>
      </c>
      <c r="D444" s="72" t="s">
        <v>7762</v>
      </c>
      <c r="E444" s="155" t="s">
        <v>19</v>
      </c>
      <c r="F444" s="74">
        <v>43036</v>
      </c>
      <c r="G444" s="95">
        <f>41.3+41.3+41.3+910.27+41.3+41.3</f>
        <v>1116.77</v>
      </c>
      <c r="H444" s="63"/>
      <c r="I444" s="63"/>
      <c r="J444" s="63"/>
      <c r="K444" s="133"/>
      <c r="L444" s="63"/>
      <c r="M444" s="63"/>
      <c r="N444" s="63"/>
      <c r="O444" s="63"/>
      <c r="P444" s="63"/>
      <c r="Q444" s="63">
        <f t="shared" si="21"/>
        <v>1116.77</v>
      </c>
      <c r="R444" s="63">
        <f t="shared" si="22"/>
        <v>0</v>
      </c>
      <c r="S444" s="63">
        <f t="shared" si="23"/>
        <v>1116.77</v>
      </c>
    </row>
    <row r="445" spans="1:19" s="77" customFormat="1" ht="12" x14ac:dyDescent="0.2">
      <c r="A445" s="68">
        <v>5508</v>
      </c>
      <c r="B445" s="68" t="s">
        <v>7750</v>
      </c>
      <c r="C445" s="88">
        <v>284</v>
      </c>
      <c r="D445" s="72" t="s">
        <v>7763</v>
      </c>
      <c r="E445" s="155" t="s">
        <v>19</v>
      </c>
      <c r="F445" s="74">
        <v>43037</v>
      </c>
      <c r="G445" s="95">
        <f>698.9+300+500+75.9</f>
        <v>1574.8000000000002</v>
      </c>
      <c r="H445" s="63"/>
      <c r="I445" s="63"/>
      <c r="J445" s="63"/>
      <c r="K445" s="133"/>
      <c r="L445" s="63"/>
      <c r="M445" s="63"/>
      <c r="N445" s="63"/>
      <c r="O445" s="63"/>
      <c r="P445" s="63"/>
      <c r="Q445" s="63">
        <f t="shared" si="21"/>
        <v>1574.8000000000002</v>
      </c>
      <c r="R445" s="63">
        <f t="shared" si="22"/>
        <v>0</v>
      </c>
      <c r="S445" s="63">
        <f t="shared" si="23"/>
        <v>1574.8000000000002</v>
      </c>
    </row>
    <row r="446" spans="1:19" s="77" customFormat="1" ht="12" x14ac:dyDescent="0.2">
      <c r="A446" s="68">
        <v>147770</v>
      </c>
      <c r="B446" s="68" t="s">
        <v>7751</v>
      </c>
      <c r="C446" s="88">
        <v>285</v>
      </c>
      <c r="D446" s="72" t="s">
        <v>7764</v>
      </c>
      <c r="E446" s="155" t="s">
        <v>19</v>
      </c>
      <c r="F446" s="74">
        <v>43038</v>
      </c>
      <c r="G446" s="95">
        <f>84.98</f>
        <v>84.98</v>
      </c>
      <c r="H446" s="63"/>
      <c r="I446" s="63"/>
      <c r="J446" s="63"/>
      <c r="K446" s="133"/>
      <c r="L446" s="63"/>
      <c r="M446" s="63"/>
      <c r="N446" s="63"/>
      <c r="O446" s="63"/>
      <c r="P446" s="63"/>
      <c r="Q446" s="63">
        <f t="shared" si="21"/>
        <v>84.98</v>
      </c>
      <c r="R446" s="63">
        <f t="shared" si="22"/>
        <v>0</v>
      </c>
      <c r="S446" s="63">
        <f t="shared" si="23"/>
        <v>84.98</v>
      </c>
    </row>
    <row r="447" spans="1:19" s="77" customFormat="1" ht="12" x14ac:dyDescent="0.2">
      <c r="A447" s="68">
        <v>147770</v>
      </c>
      <c r="B447" s="68" t="s">
        <v>7751</v>
      </c>
      <c r="C447" s="88">
        <v>285</v>
      </c>
      <c r="D447" s="72" t="s">
        <v>7765</v>
      </c>
      <c r="E447" s="155" t="s">
        <v>19</v>
      </c>
      <c r="F447" s="74">
        <v>43038</v>
      </c>
      <c r="G447" s="95">
        <f>172.52+205.59+41.3+3.66+276.12</f>
        <v>699.19</v>
      </c>
      <c r="H447" s="63"/>
      <c r="I447" s="63">
        <f>1048.33</f>
        <v>1048.33</v>
      </c>
      <c r="J447" s="63"/>
      <c r="K447" s="133"/>
      <c r="L447" s="63"/>
      <c r="M447" s="63"/>
      <c r="N447" s="63"/>
      <c r="O447" s="63"/>
      <c r="P447" s="63"/>
      <c r="Q447" s="63">
        <f t="shared" si="21"/>
        <v>1747.52</v>
      </c>
      <c r="R447" s="63">
        <f t="shared" si="22"/>
        <v>0</v>
      </c>
      <c r="S447" s="63">
        <f t="shared" si="23"/>
        <v>1747.52</v>
      </c>
    </row>
    <row r="448" spans="1:19" s="77" customFormat="1" ht="12" x14ac:dyDescent="0.2">
      <c r="A448" s="68">
        <v>147770</v>
      </c>
      <c r="B448" s="68" t="s">
        <v>7751</v>
      </c>
      <c r="C448" s="88">
        <v>285</v>
      </c>
      <c r="D448" s="72" t="s">
        <v>7766</v>
      </c>
      <c r="E448" s="155" t="s">
        <v>19</v>
      </c>
      <c r="F448" s="74">
        <v>43038</v>
      </c>
      <c r="G448" s="95">
        <f>87.15+141.66+41.3+11.74+271.4+101.11</f>
        <v>654.36</v>
      </c>
      <c r="H448" s="63"/>
      <c r="I448" s="63"/>
      <c r="J448" s="63"/>
      <c r="K448" s="133"/>
      <c r="L448" s="63"/>
      <c r="M448" s="63"/>
      <c r="N448" s="63"/>
      <c r="O448" s="63"/>
      <c r="P448" s="63"/>
      <c r="Q448" s="63">
        <f t="shared" si="21"/>
        <v>654.36</v>
      </c>
      <c r="R448" s="63">
        <f t="shared" si="22"/>
        <v>0</v>
      </c>
      <c r="S448" s="63">
        <f t="shared" si="23"/>
        <v>654.36</v>
      </c>
    </row>
    <row r="449" spans="1:19" s="77" customFormat="1" ht="12" x14ac:dyDescent="0.2">
      <c r="A449" s="68">
        <v>147770</v>
      </c>
      <c r="B449" s="68" t="s">
        <v>7751</v>
      </c>
      <c r="C449" s="88">
        <v>285</v>
      </c>
      <c r="D449" s="72" t="s">
        <v>7767</v>
      </c>
      <c r="E449" s="155" t="s">
        <v>19</v>
      </c>
      <c r="F449" s="74">
        <v>43038</v>
      </c>
      <c r="G449" s="95">
        <f>205.59+104.08+31.03+477.9</f>
        <v>818.6</v>
      </c>
      <c r="H449" s="63"/>
      <c r="I449" s="63">
        <v>425</v>
      </c>
      <c r="J449" s="63"/>
      <c r="K449" s="133"/>
      <c r="L449" s="63"/>
      <c r="M449" s="63"/>
      <c r="N449" s="63"/>
      <c r="O449" s="63"/>
      <c r="P449" s="63"/>
      <c r="Q449" s="63">
        <f t="shared" si="21"/>
        <v>1243.5999999999999</v>
      </c>
      <c r="R449" s="63">
        <f t="shared" si="22"/>
        <v>0</v>
      </c>
      <c r="S449" s="63">
        <f t="shared" si="23"/>
        <v>1243.5999999999999</v>
      </c>
    </row>
    <row r="450" spans="1:19" s="77" customFormat="1" ht="12" x14ac:dyDescent="0.2">
      <c r="A450" s="68">
        <v>4059</v>
      </c>
      <c r="B450" s="68" t="s">
        <v>7751</v>
      </c>
      <c r="C450" s="88">
        <v>286</v>
      </c>
      <c r="D450" s="72" t="s">
        <v>7846</v>
      </c>
      <c r="E450" s="155" t="s">
        <v>19</v>
      </c>
      <c r="F450" s="74">
        <v>43038</v>
      </c>
      <c r="G450" s="95">
        <f>300+300+149.3+261.96+273.05+123.9</f>
        <v>1408.21</v>
      </c>
      <c r="H450" s="63"/>
      <c r="I450" s="63">
        <v>960</v>
      </c>
      <c r="J450" s="63"/>
      <c r="K450" s="133"/>
      <c r="L450" s="63"/>
      <c r="M450" s="63"/>
      <c r="N450" s="63"/>
      <c r="O450" s="63"/>
      <c r="P450" s="63"/>
      <c r="Q450" s="63">
        <f t="shared" si="21"/>
        <v>2368.21</v>
      </c>
      <c r="R450" s="63">
        <f t="shared" si="22"/>
        <v>0</v>
      </c>
      <c r="S450" s="63">
        <f t="shared" si="23"/>
        <v>2368.21</v>
      </c>
    </row>
    <row r="451" spans="1:19" s="77" customFormat="1" ht="12" x14ac:dyDescent="0.2">
      <c r="A451" s="68">
        <v>9935</v>
      </c>
      <c r="B451" s="68" t="s">
        <v>7771</v>
      </c>
      <c r="C451" s="88">
        <v>287</v>
      </c>
      <c r="D451" s="72" t="s">
        <v>7768</v>
      </c>
      <c r="E451" s="155" t="s">
        <v>19</v>
      </c>
      <c r="F451" s="74">
        <v>43041</v>
      </c>
      <c r="G451" s="95">
        <f>3.13+276.12</f>
        <v>279.25</v>
      </c>
      <c r="H451" s="63"/>
      <c r="I451" s="63"/>
      <c r="J451" s="63"/>
      <c r="K451" s="133"/>
      <c r="L451" s="63"/>
      <c r="M451" s="63"/>
      <c r="N451" s="63"/>
      <c r="O451" s="63"/>
      <c r="P451" s="63"/>
      <c r="Q451" s="63">
        <f t="shared" si="21"/>
        <v>279.25</v>
      </c>
      <c r="R451" s="63">
        <f t="shared" si="22"/>
        <v>0</v>
      </c>
      <c r="S451" s="63">
        <f t="shared" si="23"/>
        <v>279.25</v>
      </c>
    </row>
    <row r="452" spans="1:19" s="77" customFormat="1" ht="12" x14ac:dyDescent="0.2">
      <c r="A452" s="68">
        <v>9935</v>
      </c>
      <c r="B452" s="68" t="s">
        <v>7771</v>
      </c>
      <c r="C452" s="88">
        <v>287</v>
      </c>
      <c r="D452" s="72" t="s">
        <v>7769</v>
      </c>
      <c r="E452" s="155" t="s">
        <v>19</v>
      </c>
      <c r="F452" s="74">
        <v>43041</v>
      </c>
      <c r="G452" s="95">
        <f>2.01+161.66</f>
        <v>163.66999999999999</v>
      </c>
      <c r="H452" s="63"/>
      <c r="I452" s="63"/>
      <c r="J452" s="63"/>
      <c r="K452" s="133"/>
      <c r="L452" s="63"/>
      <c r="M452" s="63"/>
      <c r="N452" s="63"/>
      <c r="O452" s="63"/>
      <c r="P452" s="63"/>
      <c r="Q452" s="63">
        <f t="shared" si="21"/>
        <v>163.66999999999999</v>
      </c>
      <c r="R452" s="63">
        <f t="shared" si="22"/>
        <v>0</v>
      </c>
      <c r="S452" s="63">
        <f t="shared" si="23"/>
        <v>163.66999999999999</v>
      </c>
    </row>
    <row r="453" spans="1:19" s="77" customFormat="1" ht="12" x14ac:dyDescent="0.2">
      <c r="A453" s="68">
        <v>9935</v>
      </c>
      <c r="B453" s="68" t="s">
        <v>7771</v>
      </c>
      <c r="C453" s="88">
        <v>287</v>
      </c>
      <c r="D453" s="72" t="s">
        <v>7770</v>
      </c>
      <c r="E453" s="155" t="s">
        <v>19</v>
      </c>
      <c r="F453" s="74">
        <v>43041</v>
      </c>
      <c r="G453" s="95">
        <f>1.18+201.78</f>
        <v>202.96</v>
      </c>
      <c r="H453" s="63"/>
      <c r="I453" s="63"/>
      <c r="J453" s="63"/>
      <c r="K453" s="133"/>
      <c r="L453" s="63"/>
      <c r="M453" s="63"/>
      <c r="N453" s="63"/>
      <c r="O453" s="63"/>
      <c r="P453" s="63"/>
      <c r="Q453" s="63">
        <f t="shared" si="21"/>
        <v>202.96</v>
      </c>
      <c r="R453" s="63">
        <f t="shared" si="22"/>
        <v>0</v>
      </c>
      <c r="S453" s="63">
        <f t="shared" si="23"/>
        <v>202.96</v>
      </c>
    </row>
    <row r="454" spans="1:19" s="77" customFormat="1" ht="12" x14ac:dyDescent="0.2">
      <c r="A454" s="159">
        <v>2904</v>
      </c>
      <c r="B454" s="89" t="s">
        <v>7775</v>
      </c>
      <c r="C454" s="88">
        <v>288</v>
      </c>
      <c r="D454" s="77" t="s">
        <v>7776</v>
      </c>
      <c r="E454" s="155" t="s">
        <v>19</v>
      </c>
      <c r="F454" s="74">
        <v>43043</v>
      </c>
      <c r="G454" s="95">
        <f>194.5</f>
        <v>194.5</v>
      </c>
      <c r="H454" s="63"/>
      <c r="I454" s="63"/>
      <c r="J454" s="63"/>
      <c r="K454" s="133"/>
      <c r="L454" s="63"/>
      <c r="M454" s="63"/>
      <c r="N454" s="63"/>
      <c r="O454" s="63"/>
      <c r="P454" s="63"/>
      <c r="Q454" s="63">
        <f t="shared" si="21"/>
        <v>194.5</v>
      </c>
      <c r="R454" s="63">
        <f t="shared" si="22"/>
        <v>0</v>
      </c>
      <c r="S454" s="63">
        <f t="shared" si="23"/>
        <v>194.5</v>
      </c>
    </row>
    <row r="455" spans="1:19" s="77" customFormat="1" ht="12" x14ac:dyDescent="0.2">
      <c r="A455" s="68">
        <v>8062</v>
      </c>
      <c r="B455" s="68" t="s">
        <v>7772</v>
      </c>
      <c r="C455" s="88">
        <v>289</v>
      </c>
      <c r="D455" s="72" t="s">
        <v>7773</v>
      </c>
      <c r="E455" s="155" t="s">
        <v>19</v>
      </c>
      <c r="F455" s="74">
        <v>43044</v>
      </c>
      <c r="G455" s="95">
        <f>161.18</f>
        <v>161.18</v>
      </c>
      <c r="H455" s="63"/>
      <c r="I455" s="63"/>
      <c r="J455" s="63"/>
      <c r="K455" s="133"/>
      <c r="L455" s="63"/>
      <c r="M455" s="63"/>
      <c r="N455" s="63"/>
      <c r="O455" s="63"/>
      <c r="P455" s="63"/>
      <c r="Q455" s="63">
        <f t="shared" si="21"/>
        <v>161.18</v>
      </c>
      <c r="R455" s="63">
        <f t="shared" si="22"/>
        <v>0</v>
      </c>
      <c r="S455" s="63">
        <f t="shared" si="23"/>
        <v>161.18</v>
      </c>
    </row>
    <row r="456" spans="1:19" s="77" customFormat="1" ht="12" x14ac:dyDescent="0.2">
      <c r="A456" s="68">
        <v>8062</v>
      </c>
      <c r="B456" s="68" t="s">
        <v>7772</v>
      </c>
      <c r="C456" s="88">
        <v>289</v>
      </c>
      <c r="D456" s="72" t="s">
        <v>7774</v>
      </c>
      <c r="E456" s="155" t="s">
        <v>19</v>
      </c>
      <c r="F456" s="74">
        <v>43044</v>
      </c>
      <c r="G456" s="95">
        <f>68.44</f>
        <v>68.44</v>
      </c>
      <c r="H456" s="63"/>
      <c r="I456" s="63"/>
      <c r="J456" s="63"/>
      <c r="K456" s="133"/>
      <c r="L456" s="63"/>
      <c r="M456" s="63"/>
      <c r="N456" s="63"/>
      <c r="O456" s="63"/>
      <c r="P456" s="63"/>
      <c r="Q456" s="63">
        <f t="shared" si="21"/>
        <v>68.44</v>
      </c>
      <c r="R456" s="63">
        <f t="shared" si="22"/>
        <v>0</v>
      </c>
      <c r="S456" s="63">
        <f t="shared" si="23"/>
        <v>68.44</v>
      </c>
    </row>
    <row r="457" spans="1:19" s="77" customFormat="1" ht="12" x14ac:dyDescent="0.2">
      <c r="A457" s="68">
        <v>8191</v>
      </c>
      <c r="B457" s="68" t="s">
        <v>7777</v>
      </c>
      <c r="C457" s="88">
        <v>290</v>
      </c>
      <c r="D457" s="72" t="s">
        <v>7778</v>
      </c>
      <c r="E457" s="155" t="s">
        <v>19</v>
      </c>
      <c r="F457" s="74">
        <v>43047</v>
      </c>
      <c r="G457" s="95">
        <f>105</f>
        <v>105</v>
      </c>
      <c r="H457" s="63"/>
      <c r="I457" s="63"/>
      <c r="J457" s="63"/>
      <c r="K457" s="133"/>
      <c r="L457" s="63"/>
      <c r="M457" s="63"/>
      <c r="N457" s="63"/>
      <c r="O457" s="63"/>
      <c r="P457" s="63"/>
      <c r="Q457" s="63">
        <f t="shared" si="21"/>
        <v>105</v>
      </c>
      <c r="R457" s="63">
        <f t="shared" si="22"/>
        <v>0</v>
      </c>
      <c r="S457" s="63">
        <f t="shared" si="23"/>
        <v>105</v>
      </c>
    </row>
    <row r="458" spans="1:19" s="77" customFormat="1" ht="12" x14ac:dyDescent="0.2">
      <c r="A458" s="68">
        <v>8191</v>
      </c>
      <c r="B458" s="68" t="s">
        <v>7777</v>
      </c>
      <c r="C458" s="88">
        <v>290</v>
      </c>
      <c r="D458" s="72" t="s">
        <v>7779</v>
      </c>
      <c r="E458" s="155" t="s">
        <v>19</v>
      </c>
      <c r="F458" s="74">
        <v>43047</v>
      </c>
      <c r="G458" s="95">
        <f>300+195</f>
        <v>495</v>
      </c>
      <c r="H458" s="63"/>
      <c r="I458" s="63"/>
      <c r="J458" s="63"/>
      <c r="K458" s="133"/>
      <c r="L458" s="63"/>
      <c r="M458" s="63"/>
      <c r="N458" s="63"/>
      <c r="O458" s="63"/>
      <c r="P458" s="63"/>
      <c r="Q458" s="63">
        <f t="shared" si="21"/>
        <v>495</v>
      </c>
      <c r="R458" s="63">
        <f t="shared" si="22"/>
        <v>0</v>
      </c>
      <c r="S458" s="63">
        <f t="shared" si="23"/>
        <v>495</v>
      </c>
    </row>
    <row r="459" spans="1:19" s="77" customFormat="1" ht="12" x14ac:dyDescent="0.2">
      <c r="A459" s="68">
        <v>2570</v>
      </c>
      <c r="B459" s="68" t="s">
        <v>7780</v>
      </c>
      <c r="C459" s="88">
        <v>291</v>
      </c>
      <c r="D459" s="72" t="s">
        <v>7781</v>
      </c>
      <c r="E459" s="155" t="s">
        <v>19</v>
      </c>
      <c r="F459" s="74">
        <v>43047</v>
      </c>
      <c r="G459" s="95">
        <f>113.5</f>
        <v>113.5</v>
      </c>
      <c r="H459" s="63"/>
      <c r="I459" s="63"/>
      <c r="J459" s="63"/>
      <c r="K459" s="133"/>
      <c r="L459" s="63"/>
      <c r="M459" s="63"/>
      <c r="N459" s="63"/>
      <c r="O459" s="63"/>
      <c r="P459" s="63"/>
      <c r="Q459" s="63">
        <f t="shared" si="21"/>
        <v>113.5</v>
      </c>
      <c r="R459" s="63">
        <f t="shared" si="22"/>
        <v>0</v>
      </c>
      <c r="S459" s="63">
        <f t="shared" si="23"/>
        <v>113.5</v>
      </c>
    </row>
    <row r="460" spans="1:19" s="77" customFormat="1" ht="12" x14ac:dyDescent="0.2">
      <c r="A460" s="68">
        <v>4275</v>
      </c>
      <c r="B460" s="68" t="s">
        <v>7782</v>
      </c>
      <c r="C460" s="88">
        <v>292</v>
      </c>
      <c r="D460" s="72" t="s">
        <v>7783</v>
      </c>
      <c r="E460" s="155" t="s">
        <v>19</v>
      </c>
      <c r="F460" s="74">
        <v>43048</v>
      </c>
      <c r="G460" s="95">
        <f>300+302.8</f>
        <v>602.79999999999995</v>
      </c>
      <c r="H460" s="63"/>
      <c r="I460" s="63"/>
      <c r="J460" s="63"/>
      <c r="K460" s="133"/>
      <c r="L460" s="63"/>
      <c r="M460" s="63"/>
      <c r="N460" s="63"/>
      <c r="O460" s="63"/>
      <c r="P460" s="63"/>
      <c r="Q460" s="63">
        <f t="shared" si="21"/>
        <v>602.79999999999995</v>
      </c>
      <c r="R460" s="63">
        <f t="shared" si="22"/>
        <v>0</v>
      </c>
      <c r="S460" s="63">
        <f t="shared" si="23"/>
        <v>602.79999999999995</v>
      </c>
    </row>
    <row r="461" spans="1:19" s="77" customFormat="1" ht="12" x14ac:dyDescent="0.2">
      <c r="A461" s="68">
        <v>146741</v>
      </c>
      <c r="B461" s="68" t="s">
        <v>7784</v>
      </c>
      <c r="C461" s="88">
        <v>293</v>
      </c>
      <c r="D461" s="72" t="s">
        <v>7785</v>
      </c>
      <c r="E461" s="155" t="s">
        <v>19</v>
      </c>
      <c r="F461" s="74">
        <v>43049</v>
      </c>
      <c r="G461" s="95">
        <f>40</f>
        <v>40</v>
      </c>
      <c r="H461" s="63"/>
      <c r="I461" s="63"/>
      <c r="J461" s="63"/>
      <c r="K461" s="133"/>
      <c r="L461" s="63"/>
      <c r="M461" s="63"/>
      <c r="N461" s="63"/>
      <c r="O461" s="63"/>
      <c r="P461" s="63"/>
      <c r="Q461" s="63">
        <f t="shared" si="21"/>
        <v>40</v>
      </c>
      <c r="R461" s="63">
        <f t="shared" si="22"/>
        <v>0</v>
      </c>
      <c r="S461" s="63">
        <f t="shared" si="23"/>
        <v>40</v>
      </c>
    </row>
    <row r="462" spans="1:19" s="77" customFormat="1" ht="12" x14ac:dyDescent="0.2">
      <c r="A462" s="68">
        <v>146741</v>
      </c>
      <c r="B462" s="68" t="s">
        <v>7784</v>
      </c>
      <c r="C462" s="88">
        <v>293</v>
      </c>
      <c r="D462" s="72" t="s">
        <v>7786</v>
      </c>
      <c r="E462" s="155" t="s">
        <v>19</v>
      </c>
      <c r="F462" s="74">
        <v>43049</v>
      </c>
      <c r="G462" s="95">
        <f>70</f>
        <v>70</v>
      </c>
      <c r="H462" s="63"/>
      <c r="I462" s="63"/>
      <c r="J462" s="63"/>
      <c r="K462" s="133"/>
      <c r="L462" s="63"/>
      <c r="M462" s="63"/>
      <c r="N462" s="63"/>
      <c r="O462" s="63"/>
      <c r="P462" s="63"/>
      <c r="Q462" s="63">
        <f t="shared" si="21"/>
        <v>70</v>
      </c>
      <c r="R462" s="63">
        <f t="shared" si="22"/>
        <v>0</v>
      </c>
      <c r="S462" s="63">
        <f t="shared" si="23"/>
        <v>70</v>
      </c>
    </row>
    <row r="463" spans="1:19" s="77" customFormat="1" ht="12" x14ac:dyDescent="0.2">
      <c r="A463" s="68">
        <v>146741</v>
      </c>
      <c r="B463" s="68" t="s">
        <v>7784</v>
      </c>
      <c r="C463" s="88">
        <v>293</v>
      </c>
      <c r="D463" s="72" t="s">
        <v>7787</v>
      </c>
      <c r="E463" s="155" t="s">
        <v>19</v>
      </c>
      <c r="F463" s="74">
        <v>43049</v>
      </c>
      <c r="G463" s="95">
        <f>70</f>
        <v>70</v>
      </c>
      <c r="H463" s="63"/>
      <c r="I463" s="63"/>
      <c r="J463" s="63"/>
      <c r="K463" s="133"/>
      <c r="L463" s="63"/>
      <c r="M463" s="63"/>
      <c r="N463" s="63"/>
      <c r="O463" s="63"/>
      <c r="P463" s="63"/>
      <c r="Q463" s="63">
        <f t="shared" si="21"/>
        <v>70</v>
      </c>
      <c r="R463" s="63">
        <f t="shared" si="22"/>
        <v>0</v>
      </c>
      <c r="S463" s="63">
        <f t="shared" si="23"/>
        <v>70</v>
      </c>
    </row>
    <row r="464" spans="1:19" s="77" customFormat="1" ht="12" x14ac:dyDescent="0.2">
      <c r="A464" s="68">
        <v>146741</v>
      </c>
      <c r="B464" s="68" t="s">
        <v>7784</v>
      </c>
      <c r="C464" s="88">
        <v>293</v>
      </c>
      <c r="D464" s="72" t="s">
        <v>7788</v>
      </c>
      <c r="E464" s="155" t="s">
        <v>19</v>
      </c>
      <c r="F464" s="74">
        <v>43049</v>
      </c>
      <c r="G464" s="95">
        <f>109.7</f>
        <v>109.7</v>
      </c>
      <c r="H464" s="63"/>
      <c r="I464" s="63"/>
      <c r="J464" s="63"/>
      <c r="K464" s="133"/>
      <c r="L464" s="63"/>
      <c r="M464" s="63"/>
      <c r="N464" s="63"/>
      <c r="O464" s="63"/>
      <c r="P464" s="63"/>
      <c r="Q464" s="63">
        <f t="shared" ref="Q464:Q528" si="24">+G464+I464+K464+M464+O464</f>
        <v>109.7</v>
      </c>
      <c r="R464" s="63">
        <f t="shared" ref="R464:R528" si="25">+H464+J464+L464+N464+P464</f>
        <v>0</v>
      </c>
      <c r="S464" s="63">
        <f t="shared" ref="S464:S528" si="26">+Q464+R464</f>
        <v>109.7</v>
      </c>
    </row>
    <row r="465" spans="1:19" s="77" customFormat="1" ht="12" x14ac:dyDescent="0.2">
      <c r="A465" s="68">
        <v>148848</v>
      </c>
      <c r="B465" s="68" t="s">
        <v>7790</v>
      </c>
      <c r="C465" s="88">
        <v>294</v>
      </c>
      <c r="D465" s="72" t="s">
        <v>7789</v>
      </c>
      <c r="E465" s="155" t="s">
        <v>19</v>
      </c>
      <c r="F465" s="74">
        <v>43049</v>
      </c>
      <c r="G465" s="95"/>
      <c r="H465" s="63"/>
      <c r="I465" s="63"/>
      <c r="J465" s="63"/>
      <c r="K465" s="133"/>
      <c r="L465" s="63"/>
      <c r="M465" s="63">
        <v>4050</v>
      </c>
      <c r="N465" s="63"/>
      <c r="O465" s="63">
        <v>16200</v>
      </c>
      <c r="P465" s="63"/>
      <c r="Q465" s="63">
        <f t="shared" si="24"/>
        <v>20250</v>
      </c>
      <c r="R465" s="63">
        <f t="shared" si="25"/>
        <v>0</v>
      </c>
      <c r="S465" s="63">
        <f t="shared" si="26"/>
        <v>20250</v>
      </c>
    </row>
    <row r="466" spans="1:19" s="77" customFormat="1" ht="12" x14ac:dyDescent="0.2">
      <c r="A466" s="68">
        <v>3280</v>
      </c>
      <c r="B466" s="68" t="s">
        <v>7791</v>
      </c>
      <c r="C466" s="88">
        <v>295</v>
      </c>
      <c r="D466" s="72" t="s">
        <v>7792</v>
      </c>
      <c r="E466" s="155" t="s">
        <v>19</v>
      </c>
      <c r="F466" s="74">
        <v>43051</v>
      </c>
      <c r="G466" s="95">
        <f>44.49+195.88</f>
        <v>240.37</v>
      </c>
      <c r="H466" s="63"/>
      <c r="I466" s="63"/>
      <c r="J466" s="63"/>
      <c r="K466" s="133"/>
      <c r="L466" s="63"/>
      <c r="M466" s="63"/>
      <c r="N466" s="63"/>
      <c r="O466" s="63"/>
      <c r="P466" s="63"/>
      <c r="Q466" s="63">
        <f t="shared" si="24"/>
        <v>240.37</v>
      </c>
      <c r="R466" s="63">
        <f t="shared" si="25"/>
        <v>0</v>
      </c>
      <c r="S466" s="63">
        <f t="shared" si="26"/>
        <v>240.37</v>
      </c>
    </row>
    <row r="467" spans="1:19" s="77" customFormat="1" ht="12" x14ac:dyDescent="0.2">
      <c r="A467" s="68">
        <v>148431</v>
      </c>
      <c r="B467" s="68" t="s">
        <v>7793</v>
      </c>
      <c r="C467" s="88">
        <v>296</v>
      </c>
      <c r="D467" s="72" t="s">
        <v>7794</v>
      </c>
      <c r="E467" s="155" t="s">
        <v>19</v>
      </c>
      <c r="F467" s="74">
        <v>43052</v>
      </c>
      <c r="G467" s="95">
        <f>87.54</f>
        <v>87.54</v>
      </c>
      <c r="H467" s="63"/>
      <c r="I467" s="63"/>
      <c r="J467" s="63"/>
      <c r="K467" s="133"/>
      <c r="L467" s="63"/>
      <c r="M467" s="63"/>
      <c r="N467" s="63"/>
      <c r="O467" s="63"/>
      <c r="P467" s="63"/>
      <c r="Q467" s="63">
        <f t="shared" si="24"/>
        <v>87.54</v>
      </c>
      <c r="R467" s="63">
        <f t="shared" si="25"/>
        <v>0</v>
      </c>
      <c r="S467" s="63">
        <f t="shared" si="26"/>
        <v>87.54</v>
      </c>
    </row>
    <row r="468" spans="1:19" s="77" customFormat="1" ht="12" x14ac:dyDescent="0.2">
      <c r="A468" s="68">
        <v>1314</v>
      </c>
      <c r="B468" s="68" t="s">
        <v>7796</v>
      </c>
      <c r="C468" s="88">
        <v>297</v>
      </c>
      <c r="D468" s="72" t="s">
        <v>7798</v>
      </c>
      <c r="E468" s="155" t="s">
        <v>19</v>
      </c>
      <c r="F468" s="74">
        <v>43055</v>
      </c>
      <c r="G468" s="95">
        <f>295+295</f>
        <v>590</v>
      </c>
      <c r="H468" s="63"/>
      <c r="I468" s="63">
        <f>1062.5*2</f>
        <v>2125</v>
      </c>
      <c r="J468" s="63"/>
      <c r="K468" s="133"/>
      <c r="L468" s="63"/>
      <c r="M468" s="63"/>
      <c r="N468" s="63"/>
      <c r="O468" s="63"/>
      <c r="P468" s="63"/>
      <c r="Q468" s="63">
        <f t="shared" si="24"/>
        <v>2715</v>
      </c>
      <c r="R468" s="63">
        <f t="shared" si="25"/>
        <v>0</v>
      </c>
      <c r="S468" s="63">
        <f t="shared" si="26"/>
        <v>2715</v>
      </c>
    </row>
    <row r="469" spans="1:19" s="77" customFormat="1" ht="12" x14ac:dyDescent="0.2">
      <c r="A469" s="68">
        <v>846</v>
      </c>
      <c r="B469" s="68" t="s">
        <v>7795</v>
      </c>
      <c r="C469" s="88">
        <v>298</v>
      </c>
      <c r="D469" s="72" t="s">
        <v>7797</v>
      </c>
      <c r="E469" s="155" t="s">
        <v>19</v>
      </c>
      <c r="F469" s="74">
        <v>43056</v>
      </c>
      <c r="G469" s="95">
        <f>3281.29+387.62+41.3+41.3+700+41.3+41.3+299.2+41.3+46.32+90.69+41.3+138.56+138.56+41.3</f>
        <v>5371.3400000000011</v>
      </c>
      <c r="H469" s="63"/>
      <c r="I469" s="63">
        <v>2210</v>
      </c>
      <c r="J469" s="63"/>
      <c r="K469" s="133"/>
      <c r="L469" s="63"/>
      <c r="M469" s="63"/>
      <c r="N469" s="63"/>
      <c r="O469" s="63"/>
      <c r="P469" s="63"/>
      <c r="Q469" s="63">
        <f t="shared" si="24"/>
        <v>7581.3400000000011</v>
      </c>
      <c r="R469" s="63">
        <f t="shared" si="25"/>
        <v>0</v>
      </c>
      <c r="S469" s="63">
        <f t="shared" si="26"/>
        <v>7581.3400000000011</v>
      </c>
    </row>
    <row r="470" spans="1:19" s="77" customFormat="1" ht="12" x14ac:dyDescent="0.2">
      <c r="A470" s="68">
        <v>12002</v>
      </c>
      <c r="B470" s="68" t="s">
        <v>7799</v>
      </c>
      <c r="C470" s="88">
        <v>299</v>
      </c>
      <c r="D470" s="72" t="s">
        <v>7891</v>
      </c>
      <c r="E470" s="155" t="s">
        <v>19</v>
      </c>
      <c r="F470" s="74">
        <v>43057</v>
      </c>
      <c r="G470" s="95">
        <f>282+90.99+129.19+41.3+138.56</f>
        <v>682.04</v>
      </c>
      <c r="H470" s="63"/>
      <c r="I470" s="63">
        <v>2691.67</v>
      </c>
      <c r="J470" s="63"/>
      <c r="K470" s="133"/>
      <c r="L470" s="63"/>
      <c r="M470" s="63"/>
      <c r="N470" s="63"/>
      <c r="O470" s="63"/>
      <c r="P470" s="63"/>
      <c r="Q470" s="63">
        <f t="shared" si="24"/>
        <v>3373.71</v>
      </c>
      <c r="R470" s="63">
        <f t="shared" si="25"/>
        <v>0</v>
      </c>
      <c r="S470" s="63">
        <f t="shared" si="26"/>
        <v>3373.71</v>
      </c>
    </row>
    <row r="471" spans="1:19" s="77" customFormat="1" ht="12" x14ac:dyDescent="0.2">
      <c r="A471" s="68">
        <v>2439</v>
      </c>
      <c r="B471" s="68" t="s">
        <v>7800</v>
      </c>
      <c r="C471" s="88">
        <v>300</v>
      </c>
      <c r="D471" s="72" t="s">
        <v>7801</v>
      </c>
      <c r="E471" s="155" t="s">
        <v>19</v>
      </c>
      <c r="F471" s="74">
        <v>43057</v>
      </c>
      <c r="G471" s="95">
        <f>246.83+154.36+124.71+353.75+353.75+42.7+75.83+41.3</f>
        <v>1393.23</v>
      </c>
      <c r="H471" s="63"/>
      <c r="I471" s="63">
        <v>2550</v>
      </c>
      <c r="J471" s="63"/>
      <c r="K471" s="133"/>
      <c r="L471" s="63"/>
      <c r="M471" s="63"/>
      <c r="N471" s="63"/>
      <c r="O471" s="63"/>
      <c r="P471" s="63"/>
      <c r="Q471" s="63">
        <f t="shared" si="24"/>
        <v>3943.23</v>
      </c>
      <c r="R471" s="63">
        <f t="shared" si="25"/>
        <v>0</v>
      </c>
      <c r="S471" s="63">
        <f t="shared" si="26"/>
        <v>3943.23</v>
      </c>
    </row>
    <row r="472" spans="1:19" s="77" customFormat="1" ht="12" x14ac:dyDescent="0.2">
      <c r="A472" s="68">
        <v>2716</v>
      </c>
      <c r="B472" s="68" t="s">
        <v>7802</v>
      </c>
      <c r="C472" s="88">
        <v>301</v>
      </c>
      <c r="D472" s="72" t="s">
        <v>7803</v>
      </c>
      <c r="E472" s="155" t="s">
        <v>19</v>
      </c>
      <c r="F472" s="74">
        <v>43058</v>
      </c>
      <c r="G472" s="95">
        <f>683.9+348.2+51.1</f>
        <v>1083.1999999999998</v>
      </c>
      <c r="H472" s="63"/>
      <c r="I472" s="63"/>
      <c r="J472" s="63"/>
      <c r="K472" s="133"/>
      <c r="L472" s="63"/>
      <c r="M472" s="63"/>
      <c r="N472" s="63"/>
      <c r="O472" s="63"/>
      <c r="P472" s="63"/>
      <c r="Q472" s="63">
        <f t="shared" si="24"/>
        <v>1083.1999999999998</v>
      </c>
      <c r="R472" s="63">
        <f t="shared" si="25"/>
        <v>0</v>
      </c>
      <c r="S472" s="63">
        <f t="shared" si="26"/>
        <v>1083.1999999999998</v>
      </c>
    </row>
    <row r="473" spans="1:19" s="77" customFormat="1" ht="12" x14ac:dyDescent="0.2">
      <c r="A473" s="68">
        <v>2256</v>
      </c>
      <c r="B473" s="68" t="s">
        <v>7804</v>
      </c>
      <c r="C473" s="88">
        <v>302</v>
      </c>
      <c r="D473" s="72" t="s">
        <v>7847</v>
      </c>
      <c r="E473" s="155" t="s">
        <v>19</v>
      </c>
      <c r="F473" s="74">
        <v>43059</v>
      </c>
      <c r="G473" s="95">
        <f>240+83.47+41.3+379.82</f>
        <v>744.59</v>
      </c>
      <c r="H473" s="63"/>
      <c r="I473" s="63"/>
      <c r="J473" s="63"/>
      <c r="K473" s="133"/>
      <c r="L473" s="63"/>
      <c r="M473" s="63"/>
      <c r="N473" s="63"/>
      <c r="O473" s="63"/>
      <c r="P473" s="63"/>
      <c r="Q473" s="63">
        <f t="shared" si="24"/>
        <v>744.59</v>
      </c>
      <c r="R473" s="63">
        <f t="shared" si="25"/>
        <v>0</v>
      </c>
      <c r="S473" s="63">
        <f t="shared" si="26"/>
        <v>744.59</v>
      </c>
    </row>
    <row r="474" spans="1:19" s="77" customFormat="1" ht="12" x14ac:dyDescent="0.2">
      <c r="A474" s="68">
        <v>146936</v>
      </c>
      <c r="B474" s="68" t="s">
        <v>7808</v>
      </c>
      <c r="C474" s="88">
        <v>303</v>
      </c>
      <c r="D474" s="72" t="s">
        <v>7805</v>
      </c>
      <c r="E474" s="155" t="s">
        <v>7127</v>
      </c>
      <c r="F474" s="74">
        <v>43060</v>
      </c>
      <c r="G474" s="95">
        <f>1110+8389.26+854+348.5+1045.44+3714.78+41.3+41.3+41.3</f>
        <v>15585.88</v>
      </c>
      <c r="H474" s="63"/>
      <c r="I474" s="63">
        <v>1700</v>
      </c>
      <c r="J474" s="63"/>
      <c r="K474" s="133">
        <v>2916</v>
      </c>
      <c r="L474" s="63"/>
      <c r="M474" s="63"/>
      <c r="N474" s="63"/>
      <c r="O474" s="63"/>
      <c r="P474" s="63"/>
      <c r="Q474" s="63">
        <f t="shared" si="24"/>
        <v>20201.879999999997</v>
      </c>
      <c r="R474" s="63">
        <f t="shared" si="25"/>
        <v>0</v>
      </c>
      <c r="S474" s="63">
        <f t="shared" si="26"/>
        <v>20201.879999999997</v>
      </c>
    </row>
    <row r="475" spans="1:19" s="77" customFormat="1" ht="12" x14ac:dyDescent="0.2">
      <c r="A475" s="68">
        <v>146936</v>
      </c>
      <c r="B475" s="68" t="s">
        <v>7808</v>
      </c>
      <c r="C475" s="88">
        <v>303</v>
      </c>
      <c r="D475" s="72" t="s">
        <v>7806</v>
      </c>
      <c r="E475" s="155" t="s">
        <v>7127</v>
      </c>
      <c r="F475" s="74">
        <v>43060</v>
      </c>
      <c r="G475" s="95">
        <f>400+5659.49+63+100.84+103.88+501+96+41.3</f>
        <v>6965.51</v>
      </c>
      <c r="H475" s="63"/>
      <c r="I475" s="63">
        <f>3400+650</f>
        <v>4050</v>
      </c>
      <c r="J475" s="63"/>
      <c r="K475" s="133"/>
      <c r="L475" s="63"/>
      <c r="M475" s="63"/>
      <c r="N475" s="63"/>
      <c r="O475" s="63"/>
      <c r="P475" s="63"/>
      <c r="Q475" s="63">
        <f t="shared" si="24"/>
        <v>11015.51</v>
      </c>
      <c r="R475" s="63">
        <f t="shared" si="25"/>
        <v>0</v>
      </c>
      <c r="S475" s="63">
        <f t="shared" si="26"/>
        <v>11015.51</v>
      </c>
    </row>
    <row r="476" spans="1:19" s="77" customFormat="1" ht="12" x14ac:dyDescent="0.2">
      <c r="A476" s="68">
        <v>146936</v>
      </c>
      <c r="B476" s="68" t="s">
        <v>7808</v>
      </c>
      <c r="C476" s="88">
        <v>303</v>
      </c>
      <c r="D476" s="72" t="s">
        <v>7807</v>
      </c>
      <c r="E476" s="155" t="s">
        <v>7127</v>
      </c>
      <c r="F476" s="74">
        <v>43060</v>
      </c>
      <c r="G476" s="95">
        <f>100.84</f>
        <v>100.84</v>
      </c>
      <c r="H476" s="63"/>
      <c r="I476" s="63"/>
      <c r="J476" s="63"/>
      <c r="K476" s="133"/>
      <c r="L476" s="63"/>
      <c r="M476" s="63"/>
      <c r="N476" s="63"/>
      <c r="O476" s="63"/>
      <c r="P476" s="63"/>
      <c r="Q476" s="63">
        <f t="shared" si="24"/>
        <v>100.84</v>
      </c>
      <c r="R476" s="63">
        <f t="shared" si="25"/>
        <v>0</v>
      </c>
      <c r="S476" s="63">
        <f t="shared" si="26"/>
        <v>100.84</v>
      </c>
    </row>
    <row r="477" spans="1:19" s="77" customFormat="1" ht="12" x14ac:dyDescent="0.2">
      <c r="A477" s="68">
        <v>14384</v>
      </c>
      <c r="B477" s="68" t="s">
        <v>7809</v>
      </c>
      <c r="C477" s="88">
        <v>304</v>
      </c>
      <c r="D477" s="72" t="s">
        <v>7810</v>
      </c>
      <c r="E477" s="155" t="s">
        <v>19</v>
      </c>
      <c r="F477" s="74">
        <v>43060</v>
      </c>
      <c r="G477" s="95">
        <f>300+252.5</f>
        <v>552.5</v>
      </c>
      <c r="H477" s="63"/>
      <c r="I477" s="63"/>
      <c r="J477" s="63"/>
      <c r="K477" s="133"/>
      <c r="L477" s="63"/>
      <c r="M477" s="63"/>
      <c r="N477" s="63"/>
      <c r="O477" s="63"/>
      <c r="P477" s="63"/>
      <c r="Q477" s="63">
        <f t="shared" si="24"/>
        <v>552.5</v>
      </c>
      <c r="R477" s="63">
        <f t="shared" si="25"/>
        <v>0</v>
      </c>
      <c r="S477" s="63">
        <f t="shared" si="26"/>
        <v>552.5</v>
      </c>
    </row>
    <row r="478" spans="1:19" s="77" customFormat="1" ht="12" x14ac:dyDescent="0.2">
      <c r="A478" s="68">
        <v>11659</v>
      </c>
      <c r="B478" s="68" t="s">
        <v>7812</v>
      </c>
      <c r="C478" s="88">
        <v>305</v>
      </c>
      <c r="D478" s="72" t="s">
        <v>7811</v>
      </c>
      <c r="E478" s="155" t="s">
        <v>19</v>
      </c>
      <c r="F478" s="74">
        <v>43060</v>
      </c>
      <c r="G478" s="95">
        <f>558+23.01+877.4</f>
        <v>1458.4099999999999</v>
      </c>
      <c r="H478" s="63"/>
      <c r="I478" s="63"/>
      <c r="J478" s="63"/>
      <c r="K478" s="133"/>
      <c r="L478" s="63"/>
      <c r="M478" s="63"/>
      <c r="N478" s="63"/>
      <c r="O478" s="63"/>
      <c r="P478" s="63"/>
      <c r="Q478" s="63">
        <f t="shared" si="24"/>
        <v>1458.4099999999999</v>
      </c>
      <c r="R478" s="63">
        <f t="shared" si="25"/>
        <v>0</v>
      </c>
      <c r="S478" s="63">
        <f t="shared" si="26"/>
        <v>1458.4099999999999</v>
      </c>
    </row>
    <row r="479" spans="1:19" s="77" customFormat="1" ht="12" x14ac:dyDescent="0.2">
      <c r="A479" s="68">
        <v>2763</v>
      </c>
      <c r="B479" s="68" t="s">
        <v>7814</v>
      </c>
      <c r="C479" s="88">
        <v>306</v>
      </c>
      <c r="D479" s="72" t="s">
        <v>7813</v>
      </c>
      <c r="E479" s="155" t="s">
        <v>19</v>
      </c>
      <c r="F479" s="74">
        <v>43061</v>
      </c>
      <c r="G479" s="95">
        <f>245.29+740.19+139.71+41.3+850+821.67+160.9+41.3+41.3+353.75+803.97+41.3+41.3</f>
        <v>4321.9800000000005</v>
      </c>
      <c r="H479" s="63"/>
      <c r="I479" s="63">
        <f>566.67+850+821.67+850+850</f>
        <v>3938.34</v>
      </c>
      <c r="J479" s="63"/>
      <c r="K479" s="133"/>
      <c r="L479" s="63"/>
      <c r="M479" s="63"/>
      <c r="N479" s="63"/>
      <c r="O479" s="63"/>
      <c r="P479" s="63"/>
      <c r="Q479" s="63">
        <f t="shared" si="24"/>
        <v>8260.32</v>
      </c>
      <c r="R479" s="63">
        <f t="shared" si="25"/>
        <v>0</v>
      </c>
      <c r="S479" s="63">
        <f t="shared" si="26"/>
        <v>8260.32</v>
      </c>
    </row>
    <row r="480" spans="1:19" s="77" customFormat="1" ht="12" x14ac:dyDescent="0.2">
      <c r="A480" s="68">
        <v>5802</v>
      </c>
      <c r="B480" s="68" t="s">
        <v>7816</v>
      </c>
      <c r="C480" s="88">
        <v>307</v>
      </c>
      <c r="D480" s="72" t="s">
        <v>7815</v>
      </c>
      <c r="E480" s="155" t="s">
        <v>19</v>
      </c>
      <c r="F480" s="74">
        <v>43062</v>
      </c>
      <c r="G480" s="95">
        <f>95.04+107.85</f>
        <v>202.89</v>
      </c>
      <c r="H480" s="63"/>
      <c r="I480" s="63"/>
      <c r="J480" s="63"/>
      <c r="K480" s="133"/>
      <c r="L480" s="63"/>
      <c r="M480" s="63"/>
      <c r="N480" s="63"/>
      <c r="O480" s="63"/>
      <c r="P480" s="63"/>
      <c r="Q480" s="63">
        <f t="shared" si="24"/>
        <v>202.89</v>
      </c>
      <c r="R480" s="63">
        <f t="shared" si="25"/>
        <v>0</v>
      </c>
      <c r="S480" s="63">
        <f t="shared" si="26"/>
        <v>202.89</v>
      </c>
    </row>
    <row r="481" spans="1:19" s="77" customFormat="1" ht="12" x14ac:dyDescent="0.2">
      <c r="A481" s="68">
        <v>11554</v>
      </c>
      <c r="B481" s="68" t="s">
        <v>3810</v>
      </c>
      <c r="C481" s="88">
        <v>308</v>
      </c>
      <c r="D481" s="72" t="s">
        <v>7817</v>
      </c>
      <c r="E481" s="155" t="s">
        <v>19</v>
      </c>
      <c r="F481" s="74">
        <v>43062</v>
      </c>
      <c r="G481" s="95">
        <f>144.53+112.43+113.89+144.9+2115.28+66.93+1133.33+41.3+104.82+41.3+117.78+41.3+41.3+2407.22+41.3+41.3+244.55</f>
        <v>6953.4600000000019</v>
      </c>
      <c r="H481" s="63"/>
      <c r="I481" s="63">
        <f>481.67+510</f>
        <v>991.67000000000007</v>
      </c>
      <c r="J481" s="63"/>
      <c r="K481" s="133"/>
      <c r="L481" s="63"/>
      <c r="M481" s="63"/>
      <c r="N481" s="63"/>
      <c r="O481" s="63"/>
      <c r="P481" s="63"/>
      <c r="Q481" s="63">
        <f t="shared" si="24"/>
        <v>7945.1300000000019</v>
      </c>
      <c r="R481" s="63">
        <f t="shared" si="25"/>
        <v>0</v>
      </c>
      <c r="S481" s="63">
        <f t="shared" si="26"/>
        <v>7945.1300000000019</v>
      </c>
    </row>
    <row r="482" spans="1:19" s="77" customFormat="1" ht="12" x14ac:dyDescent="0.2">
      <c r="A482" s="68">
        <v>2496</v>
      </c>
      <c r="B482" s="68" t="s">
        <v>7819</v>
      </c>
      <c r="C482" s="88">
        <v>309</v>
      </c>
      <c r="D482" s="72" t="s">
        <v>7818</v>
      </c>
      <c r="E482" s="155" t="s">
        <v>19</v>
      </c>
      <c r="F482" s="74">
        <v>43063</v>
      </c>
      <c r="G482" s="95">
        <v>285.87</v>
      </c>
      <c r="H482" s="63"/>
      <c r="I482" s="63"/>
      <c r="J482" s="63"/>
      <c r="K482" s="133"/>
      <c r="L482" s="63"/>
      <c r="M482" s="63"/>
      <c r="N482" s="63"/>
      <c r="O482" s="63"/>
      <c r="P482" s="63"/>
      <c r="Q482" s="63">
        <f t="shared" si="24"/>
        <v>285.87</v>
      </c>
      <c r="R482" s="63">
        <f t="shared" si="25"/>
        <v>0</v>
      </c>
      <c r="S482" s="63">
        <f t="shared" si="26"/>
        <v>285.87</v>
      </c>
    </row>
    <row r="483" spans="1:19" s="77" customFormat="1" ht="12" x14ac:dyDescent="0.2">
      <c r="A483" s="68">
        <v>147919</v>
      </c>
      <c r="B483" s="68" t="s">
        <v>7820</v>
      </c>
      <c r="C483" s="88">
        <v>310</v>
      </c>
      <c r="D483" s="72" t="s">
        <v>7892</v>
      </c>
      <c r="E483" s="155" t="s">
        <v>19</v>
      </c>
      <c r="F483" s="74">
        <v>43064</v>
      </c>
      <c r="G483" s="95">
        <v>327.10000000000002</v>
      </c>
      <c r="H483" s="63"/>
      <c r="I483" s="63"/>
      <c r="J483" s="63"/>
      <c r="K483" s="133"/>
      <c r="L483" s="63"/>
      <c r="M483" s="63"/>
      <c r="N483" s="63"/>
      <c r="O483" s="63"/>
      <c r="P483" s="63"/>
      <c r="Q483" s="63">
        <f t="shared" si="24"/>
        <v>327.10000000000002</v>
      </c>
      <c r="R483" s="63">
        <f t="shared" si="25"/>
        <v>0</v>
      </c>
      <c r="S483" s="63">
        <f t="shared" si="26"/>
        <v>327.10000000000002</v>
      </c>
    </row>
    <row r="484" spans="1:19" s="77" customFormat="1" ht="12" x14ac:dyDescent="0.2">
      <c r="A484" s="68">
        <v>147919</v>
      </c>
      <c r="B484" s="68" t="s">
        <v>7820</v>
      </c>
      <c r="C484" s="88">
        <v>310</v>
      </c>
      <c r="D484" s="72" t="s">
        <v>7893</v>
      </c>
      <c r="E484" s="155" t="s">
        <v>19</v>
      </c>
      <c r="F484" s="74">
        <v>43064</v>
      </c>
      <c r="G484" s="95">
        <v>83.5</v>
      </c>
      <c r="H484" s="63"/>
      <c r="I484" s="63"/>
      <c r="J484" s="63"/>
      <c r="K484" s="133"/>
      <c r="L484" s="63"/>
      <c r="M484" s="63"/>
      <c r="N484" s="63"/>
      <c r="O484" s="63"/>
      <c r="P484" s="63"/>
      <c r="Q484" s="63"/>
      <c r="R484" s="63"/>
      <c r="S484" s="63"/>
    </row>
    <row r="485" spans="1:19" s="77" customFormat="1" ht="12" x14ac:dyDescent="0.2">
      <c r="A485" s="68">
        <v>8035</v>
      </c>
      <c r="B485" s="68" t="s">
        <v>7821</v>
      </c>
      <c r="C485" s="88">
        <v>311</v>
      </c>
      <c r="D485" s="72" t="s">
        <v>7894</v>
      </c>
      <c r="E485" s="155" t="s">
        <v>19</v>
      </c>
      <c r="F485" s="74">
        <v>43064</v>
      </c>
      <c r="G485" s="95">
        <f>300+109.79+83.5+41.3+238.7</f>
        <v>773.29</v>
      </c>
      <c r="H485" s="63"/>
      <c r="I485" s="63"/>
      <c r="J485" s="63"/>
      <c r="K485" s="133"/>
      <c r="L485" s="63"/>
      <c r="M485" s="63"/>
      <c r="N485" s="63"/>
      <c r="O485" s="63"/>
      <c r="P485" s="63"/>
      <c r="Q485" s="63">
        <f t="shared" si="24"/>
        <v>773.29</v>
      </c>
      <c r="R485" s="63">
        <f t="shared" si="25"/>
        <v>0</v>
      </c>
      <c r="S485" s="63">
        <f t="shared" si="26"/>
        <v>773.29</v>
      </c>
    </row>
    <row r="486" spans="1:19" s="77" customFormat="1" ht="12" x14ac:dyDescent="0.2">
      <c r="A486" s="68">
        <v>147576</v>
      </c>
      <c r="B486" s="68" t="s">
        <v>5325</v>
      </c>
      <c r="C486" s="88">
        <v>312</v>
      </c>
      <c r="D486" s="72" t="s">
        <v>7822</v>
      </c>
      <c r="E486" s="155" t="s">
        <v>19</v>
      </c>
      <c r="F486" s="74">
        <v>43064</v>
      </c>
      <c r="G486" s="95">
        <f>300+83.53</f>
        <v>383.53</v>
      </c>
      <c r="H486" s="63"/>
      <c r="I486" s="63"/>
      <c r="J486" s="63"/>
      <c r="K486" s="133"/>
      <c r="L486" s="63"/>
      <c r="M486" s="63"/>
      <c r="N486" s="63"/>
      <c r="O486" s="63"/>
      <c r="P486" s="63"/>
      <c r="Q486" s="63">
        <f t="shared" si="24"/>
        <v>383.53</v>
      </c>
      <c r="R486" s="63">
        <f t="shared" si="25"/>
        <v>0</v>
      </c>
      <c r="S486" s="63">
        <f t="shared" si="26"/>
        <v>383.53</v>
      </c>
    </row>
    <row r="487" spans="1:19" s="77" customFormat="1" ht="12" x14ac:dyDescent="0.2">
      <c r="A487" s="68">
        <v>147576</v>
      </c>
      <c r="B487" s="68" t="s">
        <v>5325</v>
      </c>
      <c r="C487" s="88">
        <v>312</v>
      </c>
      <c r="D487" s="72" t="s">
        <v>7823</v>
      </c>
      <c r="E487" s="155" t="s">
        <v>19</v>
      </c>
      <c r="F487" s="74">
        <v>43064</v>
      </c>
      <c r="G487" s="95">
        <v>85.1</v>
      </c>
      <c r="H487" s="63"/>
      <c r="I487" s="63"/>
      <c r="J487" s="63"/>
      <c r="K487" s="133"/>
      <c r="L487" s="63"/>
      <c r="M487" s="63"/>
      <c r="N487" s="63"/>
      <c r="O487" s="63"/>
      <c r="P487" s="63"/>
      <c r="Q487" s="63">
        <f t="shared" si="24"/>
        <v>85.1</v>
      </c>
      <c r="R487" s="63">
        <f t="shared" si="25"/>
        <v>0</v>
      </c>
      <c r="S487" s="63">
        <f t="shared" si="26"/>
        <v>85.1</v>
      </c>
    </row>
    <row r="488" spans="1:19" s="77" customFormat="1" ht="12" x14ac:dyDescent="0.2">
      <c r="A488" s="68">
        <v>147576</v>
      </c>
      <c r="B488" s="68" t="s">
        <v>5325</v>
      </c>
      <c r="C488" s="88">
        <v>312</v>
      </c>
      <c r="D488" s="72" t="s">
        <v>7824</v>
      </c>
      <c r="E488" s="155" t="s">
        <v>19</v>
      </c>
      <c r="F488" s="74">
        <v>43064</v>
      </c>
      <c r="G488" s="95">
        <v>107.81</v>
      </c>
      <c r="H488" s="63"/>
      <c r="I488" s="63"/>
      <c r="J488" s="63"/>
      <c r="K488" s="133"/>
      <c r="L488" s="63"/>
      <c r="M488" s="63"/>
      <c r="N488" s="63"/>
      <c r="O488" s="63"/>
      <c r="P488" s="63"/>
      <c r="Q488" s="63">
        <f t="shared" si="24"/>
        <v>107.81</v>
      </c>
      <c r="R488" s="63">
        <f t="shared" si="25"/>
        <v>0</v>
      </c>
      <c r="S488" s="63">
        <f t="shared" si="26"/>
        <v>107.81</v>
      </c>
    </row>
    <row r="489" spans="1:19" s="77" customFormat="1" ht="12" x14ac:dyDescent="0.2">
      <c r="A489" s="68">
        <v>147576</v>
      </c>
      <c r="B489" s="68" t="s">
        <v>5325</v>
      </c>
      <c r="C489" s="88">
        <v>312</v>
      </c>
      <c r="D489" s="72" t="s">
        <v>7825</v>
      </c>
      <c r="E489" s="155" t="s">
        <v>19</v>
      </c>
      <c r="F489" s="74">
        <v>43064</v>
      </c>
      <c r="G489" s="95">
        <v>48.8</v>
      </c>
      <c r="H489" s="63"/>
      <c r="I489" s="63"/>
      <c r="J489" s="63"/>
      <c r="K489" s="133"/>
      <c r="L489" s="63"/>
      <c r="M489" s="63"/>
      <c r="N489" s="63"/>
      <c r="O489" s="63"/>
      <c r="P489" s="63"/>
      <c r="Q489" s="63">
        <f t="shared" si="24"/>
        <v>48.8</v>
      </c>
      <c r="R489" s="63">
        <f t="shared" si="25"/>
        <v>0</v>
      </c>
      <c r="S489" s="63">
        <f t="shared" si="26"/>
        <v>48.8</v>
      </c>
    </row>
    <row r="490" spans="1:19" s="77" customFormat="1" ht="12" x14ac:dyDescent="0.2">
      <c r="A490" s="68">
        <v>147576</v>
      </c>
      <c r="B490" s="68" t="s">
        <v>5325</v>
      </c>
      <c r="C490" s="88">
        <v>312</v>
      </c>
      <c r="D490" s="72" t="s">
        <v>7826</v>
      </c>
      <c r="E490" s="155" t="s">
        <v>19</v>
      </c>
      <c r="F490" s="74">
        <v>43064</v>
      </c>
      <c r="G490" s="95">
        <v>41.1</v>
      </c>
      <c r="H490" s="63"/>
      <c r="I490" s="63"/>
      <c r="J490" s="63"/>
      <c r="K490" s="133"/>
      <c r="L490" s="63"/>
      <c r="M490" s="63"/>
      <c r="N490" s="63"/>
      <c r="O490" s="63"/>
      <c r="P490" s="63"/>
      <c r="Q490" s="63">
        <f t="shared" si="24"/>
        <v>41.1</v>
      </c>
      <c r="R490" s="63">
        <f t="shared" si="25"/>
        <v>0</v>
      </c>
      <c r="S490" s="63">
        <f t="shared" si="26"/>
        <v>41.1</v>
      </c>
    </row>
    <row r="491" spans="1:19" s="77" customFormat="1" ht="12" x14ac:dyDescent="0.2">
      <c r="A491" s="68">
        <v>147576</v>
      </c>
      <c r="B491" s="68" t="s">
        <v>5325</v>
      </c>
      <c r="C491" s="88">
        <v>312</v>
      </c>
      <c r="D491" s="72" t="s">
        <v>7827</v>
      </c>
      <c r="E491" s="155" t="s">
        <v>19</v>
      </c>
      <c r="F491" s="74">
        <v>43064</v>
      </c>
      <c r="G491" s="95">
        <v>50.5</v>
      </c>
      <c r="H491" s="63"/>
      <c r="I491" s="63"/>
      <c r="J491" s="63"/>
      <c r="K491" s="133"/>
      <c r="L491" s="63"/>
      <c r="M491" s="63"/>
      <c r="N491" s="63"/>
      <c r="O491" s="63"/>
      <c r="P491" s="63"/>
      <c r="Q491" s="63">
        <f t="shared" si="24"/>
        <v>50.5</v>
      </c>
      <c r="R491" s="63">
        <f t="shared" si="25"/>
        <v>0</v>
      </c>
      <c r="S491" s="63">
        <f t="shared" si="26"/>
        <v>50.5</v>
      </c>
    </row>
    <row r="492" spans="1:19" s="77" customFormat="1" ht="12" x14ac:dyDescent="0.2">
      <c r="A492" s="68">
        <v>1585</v>
      </c>
      <c r="B492" s="68" t="s">
        <v>7828</v>
      </c>
      <c r="C492" s="88">
        <v>313</v>
      </c>
      <c r="D492" s="72" t="s">
        <v>7829</v>
      </c>
      <c r="E492" s="155" t="s">
        <v>19</v>
      </c>
      <c r="F492" s="74">
        <v>43066</v>
      </c>
      <c r="G492" s="95">
        <f>95</f>
        <v>95</v>
      </c>
      <c r="H492" s="63"/>
      <c r="I492" s="63"/>
      <c r="J492" s="63"/>
      <c r="K492" s="133"/>
      <c r="L492" s="63"/>
      <c r="M492" s="63"/>
      <c r="N492" s="63"/>
      <c r="O492" s="63"/>
      <c r="P492" s="63"/>
      <c r="Q492" s="63">
        <f t="shared" si="24"/>
        <v>95</v>
      </c>
      <c r="R492" s="63">
        <f t="shared" si="25"/>
        <v>0</v>
      </c>
      <c r="S492" s="63">
        <f t="shared" si="26"/>
        <v>95</v>
      </c>
    </row>
    <row r="493" spans="1:19" s="77" customFormat="1" ht="12" x14ac:dyDescent="0.2">
      <c r="A493" s="68">
        <v>1585</v>
      </c>
      <c r="B493" s="68" t="s">
        <v>7828</v>
      </c>
      <c r="C493" s="88">
        <v>313</v>
      </c>
      <c r="D493" s="72" t="s">
        <v>7830</v>
      </c>
      <c r="E493" s="155" t="s">
        <v>19</v>
      </c>
      <c r="F493" s="74">
        <v>43066</v>
      </c>
      <c r="G493" s="95">
        <f>40</f>
        <v>40</v>
      </c>
      <c r="H493" s="63"/>
      <c r="I493" s="63"/>
      <c r="J493" s="63"/>
      <c r="K493" s="133"/>
      <c r="L493" s="63"/>
      <c r="M493" s="63"/>
      <c r="N493" s="63"/>
      <c r="O493" s="63"/>
      <c r="P493" s="63"/>
      <c r="Q493" s="63">
        <f t="shared" si="24"/>
        <v>40</v>
      </c>
      <c r="R493" s="63">
        <f t="shared" si="25"/>
        <v>0</v>
      </c>
      <c r="S493" s="63">
        <f t="shared" si="26"/>
        <v>40</v>
      </c>
    </row>
    <row r="494" spans="1:19" s="77" customFormat="1" ht="12" x14ac:dyDescent="0.2">
      <c r="A494" s="68">
        <v>1585</v>
      </c>
      <c r="B494" s="68" t="s">
        <v>7828</v>
      </c>
      <c r="C494" s="88">
        <v>313</v>
      </c>
      <c r="D494" s="72" t="s">
        <v>7831</v>
      </c>
      <c r="E494" s="155" t="s">
        <v>19</v>
      </c>
      <c r="F494" s="74">
        <v>43066</v>
      </c>
      <c r="G494" s="95">
        <f>108.4</f>
        <v>108.4</v>
      </c>
      <c r="H494" s="63"/>
      <c r="I494" s="63"/>
      <c r="J494" s="63"/>
      <c r="K494" s="133"/>
      <c r="L494" s="63"/>
      <c r="M494" s="63"/>
      <c r="N494" s="63"/>
      <c r="O494" s="63"/>
      <c r="P494" s="63"/>
      <c r="Q494" s="63">
        <f t="shared" si="24"/>
        <v>108.4</v>
      </c>
      <c r="R494" s="63">
        <f t="shared" si="25"/>
        <v>0</v>
      </c>
      <c r="S494" s="63">
        <f t="shared" si="26"/>
        <v>108.4</v>
      </c>
    </row>
    <row r="495" spans="1:19" s="77" customFormat="1" ht="12" x14ac:dyDescent="0.2">
      <c r="A495" s="68">
        <v>1585</v>
      </c>
      <c r="B495" s="68" t="s">
        <v>7828</v>
      </c>
      <c r="C495" s="88">
        <v>313</v>
      </c>
      <c r="D495" s="72" t="s">
        <v>7832</v>
      </c>
      <c r="E495" s="155" t="s">
        <v>19</v>
      </c>
      <c r="F495" s="74">
        <v>43066</v>
      </c>
      <c r="G495" s="95">
        <f>148</f>
        <v>148</v>
      </c>
      <c r="H495" s="63"/>
      <c r="I495" s="63"/>
      <c r="J495" s="63"/>
      <c r="K495" s="133"/>
      <c r="L495" s="63"/>
      <c r="M495" s="63"/>
      <c r="N495" s="63"/>
      <c r="O495" s="63"/>
      <c r="P495" s="63"/>
      <c r="Q495" s="63">
        <f t="shared" si="24"/>
        <v>148</v>
      </c>
      <c r="R495" s="63">
        <f t="shared" si="25"/>
        <v>0</v>
      </c>
      <c r="S495" s="63">
        <f t="shared" si="26"/>
        <v>148</v>
      </c>
    </row>
    <row r="496" spans="1:19" s="77" customFormat="1" ht="12" x14ac:dyDescent="0.2">
      <c r="A496" s="68">
        <v>1585</v>
      </c>
      <c r="B496" s="68" t="s">
        <v>7828</v>
      </c>
      <c r="C496" s="88">
        <v>313</v>
      </c>
      <c r="D496" s="72" t="s">
        <v>7833</v>
      </c>
      <c r="E496" s="155" t="s">
        <v>19</v>
      </c>
      <c r="F496" s="74">
        <v>43066</v>
      </c>
      <c r="G496" s="95">
        <f>40.5</f>
        <v>40.5</v>
      </c>
      <c r="H496" s="63"/>
      <c r="I496" s="63"/>
      <c r="J496" s="63"/>
      <c r="K496" s="133"/>
      <c r="L496" s="63"/>
      <c r="M496" s="63"/>
      <c r="N496" s="63"/>
      <c r="O496" s="63"/>
      <c r="P496" s="63"/>
      <c r="Q496" s="63">
        <f t="shared" si="24"/>
        <v>40.5</v>
      </c>
      <c r="R496" s="63">
        <f t="shared" si="25"/>
        <v>0</v>
      </c>
      <c r="S496" s="63">
        <f t="shared" si="26"/>
        <v>40.5</v>
      </c>
    </row>
    <row r="497" spans="1:19" s="77" customFormat="1" ht="12" x14ac:dyDescent="0.2">
      <c r="A497" s="68">
        <v>1585</v>
      </c>
      <c r="B497" s="68" t="s">
        <v>7828</v>
      </c>
      <c r="C497" s="88">
        <v>313</v>
      </c>
      <c r="D497" s="72" t="s">
        <v>7834</v>
      </c>
      <c r="E497" s="155" t="s">
        <v>19</v>
      </c>
      <c r="F497" s="74">
        <v>43066</v>
      </c>
      <c r="G497" s="95">
        <f>54.01</f>
        <v>54.01</v>
      </c>
      <c r="H497" s="63"/>
      <c r="I497" s="63"/>
      <c r="J497" s="63"/>
      <c r="K497" s="133"/>
      <c r="L497" s="63"/>
      <c r="M497" s="63"/>
      <c r="N497" s="63"/>
      <c r="O497" s="63"/>
      <c r="P497" s="63"/>
      <c r="Q497" s="63">
        <f t="shared" si="24"/>
        <v>54.01</v>
      </c>
      <c r="R497" s="63">
        <f t="shared" si="25"/>
        <v>0</v>
      </c>
      <c r="S497" s="63">
        <f t="shared" si="26"/>
        <v>54.01</v>
      </c>
    </row>
    <row r="498" spans="1:19" s="77" customFormat="1" ht="12" x14ac:dyDescent="0.2">
      <c r="A498" s="68">
        <v>1585</v>
      </c>
      <c r="B498" s="68" t="s">
        <v>7828</v>
      </c>
      <c r="C498" s="88">
        <v>313</v>
      </c>
      <c r="D498" s="72" t="s">
        <v>7835</v>
      </c>
      <c r="E498" s="155" t="s">
        <v>19</v>
      </c>
      <c r="F498" s="74">
        <v>43066</v>
      </c>
      <c r="G498" s="95">
        <f>40</f>
        <v>40</v>
      </c>
      <c r="H498" s="63"/>
      <c r="I498" s="63"/>
      <c r="J498" s="63"/>
      <c r="K498" s="133"/>
      <c r="L498" s="63"/>
      <c r="M498" s="63"/>
      <c r="N498" s="63"/>
      <c r="O498" s="63"/>
      <c r="P498" s="63"/>
      <c r="Q498" s="63">
        <f t="shared" si="24"/>
        <v>40</v>
      </c>
      <c r="R498" s="63">
        <f t="shared" si="25"/>
        <v>0</v>
      </c>
      <c r="S498" s="63">
        <f t="shared" si="26"/>
        <v>40</v>
      </c>
    </row>
    <row r="499" spans="1:19" s="77" customFormat="1" ht="12" x14ac:dyDescent="0.2">
      <c r="A499" s="68">
        <v>1585</v>
      </c>
      <c r="B499" s="68" t="s">
        <v>7828</v>
      </c>
      <c r="C499" s="88">
        <v>313</v>
      </c>
      <c r="D499" s="72" t="s">
        <v>7836</v>
      </c>
      <c r="E499" s="155" t="s">
        <v>19</v>
      </c>
      <c r="F499" s="74">
        <v>43066</v>
      </c>
      <c r="G499" s="95">
        <f>300+386.76</f>
        <v>686.76</v>
      </c>
      <c r="H499" s="63"/>
      <c r="I499" s="63"/>
      <c r="J499" s="63"/>
      <c r="K499" s="133"/>
      <c r="L499" s="63"/>
      <c r="M499" s="63"/>
      <c r="N499" s="63"/>
      <c r="O499" s="63"/>
      <c r="P499" s="63"/>
      <c r="Q499" s="63">
        <f t="shared" si="24"/>
        <v>686.76</v>
      </c>
      <c r="R499" s="63">
        <f t="shared" si="25"/>
        <v>0</v>
      </c>
      <c r="S499" s="63">
        <f t="shared" si="26"/>
        <v>686.76</v>
      </c>
    </row>
    <row r="500" spans="1:19" s="77" customFormat="1" ht="12" x14ac:dyDescent="0.2">
      <c r="A500" s="68">
        <v>1585</v>
      </c>
      <c r="B500" s="68" t="s">
        <v>7828</v>
      </c>
      <c r="C500" s="88">
        <v>313</v>
      </c>
      <c r="D500" s="72" t="s">
        <v>7837</v>
      </c>
      <c r="E500" s="155" t="s">
        <v>19</v>
      </c>
      <c r="F500" s="74">
        <v>43066</v>
      </c>
      <c r="G500" s="95">
        <f>40.4</f>
        <v>40.4</v>
      </c>
      <c r="H500" s="63"/>
      <c r="I500" s="63"/>
      <c r="J500" s="63"/>
      <c r="K500" s="133"/>
      <c r="L500" s="63"/>
      <c r="M500" s="63"/>
      <c r="N500" s="63"/>
      <c r="O500" s="63"/>
      <c r="P500" s="63"/>
      <c r="Q500" s="63">
        <f t="shared" si="24"/>
        <v>40.4</v>
      </c>
      <c r="R500" s="63">
        <f t="shared" si="25"/>
        <v>0</v>
      </c>
      <c r="S500" s="63">
        <f t="shared" si="26"/>
        <v>40.4</v>
      </c>
    </row>
    <row r="501" spans="1:19" s="77" customFormat="1" ht="12" x14ac:dyDescent="0.2">
      <c r="A501" s="68">
        <v>1585</v>
      </c>
      <c r="B501" s="68" t="s">
        <v>7828</v>
      </c>
      <c r="C501" s="88">
        <v>313</v>
      </c>
      <c r="D501" s="72" t="s">
        <v>7838</v>
      </c>
      <c r="E501" s="155" t="s">
        <v>19</v>
      </c>
      <c r="F501" s="74">
        <v>43066</v>
      </c>
      <c r="G501" s="95">
        <f>40</f>
        <v>40</v>
      </c>
      <c r="H501" s="63"/>
      <c r="I501" s="63"/>
      <c r="J501" s="63"/>
      <c r="K501" s="133"/>
      <c r="L501" s="63"/>
      <c r="M501" s="63"/>
      <c r="N501" s="63"/>
      <c r="O501" s="63"/>
      <c r="P501" s="63"/>
      <c r="Q501" s="63">
        <f t="shared" si="24"/>
        <v>40</v>
      </c>
      <c r="R501" s="63">
        <f t="shared" si="25"/>
        <v>0</v>
      </c>
      <c r="S501" s="63">
        <f t="shared" si="26"/>
        <v>40</v>
      </c>
    </row>
    <row r="502" spans="1:19" s="77" customFormat="1" ht="12" x14ac:dyDescent="0.2">
      <c r="A502" s="68">
        <v>1585</v>
      </c>
      <c r="B502" s="68" t="s">
        <v>7828</v>
      </c>
      <c r="C502" s="88">
        <v>313</v>
      </c>
      <c r="D502" s="72" t="s">
        <v>7839</v>
      </c>
      <c r="E502" s="155" t="s">
        <v>19</v>
      </c>
      <c r="F502" s="74">
        <v>43066</v>
      </c>
      <c r="G502" s="95">
        <f>257</f>
        <v>257</v>
      </c>
      <c r="H502" s="63"/>
      <c r="I502" s="63"/>
      <c r="J502" s="63"/>
      <c r="K502" s="133"/>
      <c r="L502" s="63"/>
      <c r="M502" s="63"/>
      <c r="N502" s="63"/>
      <c r="O502" s="63"/>
      <c r="P502" s="63"/>
      <c r="Q502" s="63">
        <f t="shared" si="24"/>
        <v>257</v>
      </c>
      <c r="R502" s="63">
        <f t="shared" si="25"/>
        <v>0</v>
      </c>
      <c r="S502" s="63">
        <f t="shared" si="26"/>
        <v>257</v>
      </c>
    </row>
    <row r="503" spans="1:19" s="77" customFormat="1" ht="12" x14ac:dyDescent="0.2">
      <c r="A503" s="68">
        <v>1585</v>
      </c>
      <c r="B503" s="68" t="s">
        <v>7828</v>
      </c>
      <c r="C503" s="88">
        <v>313</v>
      </c>
      <c r="D503" s="72" t="s">
        <v>7840</v>
      </c>
      <c r="E503" s="155" t="s">
        <v>19</v>
      </c>
      <c r="F503" s="74">
        <v>43066</v>
      </c>
      <c r="G503" s="95">
        <f>300+284.1</f>
        <v>584.1</v>
      </c>
      <c r="H503" s="63"/>
      <c r="I503" s="63"/>
      <c r="J503" s="63"/>
      <c r="K503" s="133"/>
      <c r="L503" s="63"/>
      <c r="M503" s="63"/>
      <c r="N503" s="63"/>
      <c r="O503" s="63"/>
      <c r="P503" s="63"/>
      <c r="Q503" s="63">
        <f t="shared" si="24"/>
        <v>584.1</v>
      </c>
      <c r="R503" s="63">
        <f t="shared" si="25"/>
        <v>0</v>
      </c>
      <c r="S503" s="63">
        <f t="shared" si="26"/>
        <v>584.1</v>
      </c>
    </row>
    <row r="504" spans="1:19" s="77" customFormat="1" ht="12" x14ac:dyDescent="0.2">
      <c r="A504" s="68">
        <v>1585</v>
      </c>
      <c r="B504" s="68" t="s">
        <v>7828</v>
      </c>
      <c r="C504" s="88">
        <v>313</v>
      </c>
      <c r="D504" s="72" t="s">
        <v>7841</v>
      </c>
      <c r="E504" s="155" t="s">
        <v>19</v>
      </c>
      <c r="F504" s="74">
        <v>43066</v>
      </c>
      <c r="G504" s="95">
        <f>400+120.52</f>
        <v>520.52</v>
      </c>
      <c r="H504" s="63"/>
      <c r="I504" s="63"/>
      <c r="J504" s="63"/>
      <c r="K504" s="133"/>
      <c r="L504" s="63"/>
      <c r="M504" s="63"/>
      <c r="N504" s="63"/>
      <c r="O504" s="63"/>
      <c r="P504" s="63"/>
      <c r="Q504" s="63">
        <f t="shared" si="24"/>
        <v>520.52</v>
      </c>
      <c r="R504" s="63">
        <f t="shared" si="25"/>
        <v>0</v>
      </c>
      <c r="S504" s="63">
        <f t="shared" si="26"/>
        <v>520.52</v>
      </c>
    </row>
    <row r="505" spans="1:19" s="77" customFormat="1" ht="12" x14ac:dyDescent="0.2">
      <c r="A505" s="68">
        <v>1585</v>
      </c>
      <c r="B505" s="68" t="s">
        <v>7828</v>
      </c>
      <c r="C505" s="88">
        <v>313</v>
      </c>
      <c r="D505" s="72" t="s">
        <v>7842</v>
      </c>
      <c r="E505" s="155" t="s">
        <v>19</v>
      </c>
      <c r="F505" s="74">
        <v>43066</v>
      </c>
      <c r="G505" s="95">
        <v>40</v>
      </c>
      <c r="H505" s="63"/>
      <c r="I505" s="63"/>
      <c r="J505" s="63"/>
      <c r="K505" s="133"/>
      <c r="L505" s="63"/>
      <c r="M505" s="63"/>
      <c r="N505" s="63"/>
      <c r="O505" s="63"/>
      <c r="P505" s="63"/>
      <c r="Q505" s="63">
        <f t="shared" si="24"/>
        <v>40</v>
      </c>
      <c r="R505" s="63">
        <f t="shared" si="25"/>
        <v>0</v>
      </c>
      <c r="S505" s="63">
        <f t="shared" si="26"/>
        <v>40</v>
      </c>
    </row>
    <row r="506" spans="1:19" s="77" customFormat="1" ht="12" x14ac:dyDescent="0.2">
      <c r="A506" s="68">
        <v>11251</v>
      </c>
      <c r="B506" s="68" t="s">
        <v>7843</v>
      </c>
      <c r="C506" s="88">
        <v>314</v>
      </c>
      <c r="D506" s="77" t="s">
        <v>7844</v>
      </c>
      <c r="E506" s="155" t="s">
        <v>19</v>
      </c>
      <c r="F506" s="74">
        <v>43069</v>
      </c>
      <c r="G506" s="95">
        <v>483.94</v>
      </c>
      <c r="H506" s="63"/>
      <c r="I506" s="63"/>
      <c r="J506" s="63"/>
      <c r="K506" s="133"/>
      <c r="L506" s="63"/>
      <c r="M506" s="63"/>
      <c r="N506" s="63"/>
      <c r="O506" s="63"/>
      <c r="P506" s="63"/>
      <c r="Q506" s="63">
        <f t="shared" si="24"/>
        <v>483.94</v>
      </c>
      <c r="R506" s="63">
        <f t="shared" si="25"/>
        <v>0</v>
      </c>
      <c r="S506" s="63">
        <f t="shared" si="26"/>
        <v>483.94</v>
      </c>
    </row>
    <row r="507" spans="1:19" s="77" customFormat="1" ht="12" x14ac:dyDescent="0.2">
      <c r="A507" s="68">
        <v>11786</v>
      </c>
      <c r="B507" s="68" t="s">
        <v>7848</v>
      </c>
      <c r="C507" s="88">
        <v>315</v>
      </c>
      <c r="D507" s="72" t="s">
        <v>7849</v>
      </c>
      <c r="E507" s="155" t="s">
        <v>19</v>
      </c>
      <c r="F507" s="74">
        <v>43071</v>
      </c>
      <c r="G507" s="95">
        <v>70</v>
      </c>
      <c r="H507" s="63"/>
      <c r="I507" s="63"/>
      <c r="J507" s="63"/>
      <c r="K507" s="133"/>
      <c r="L507" s="63"/>
      <c r="M507" s="63"/>
      <c r="N507" s="63"/>
      <c r="O507" s="63"/>
      <c r="P507" s="63"/>
      <c r="Q507" s="63">
        <f t="shared" si="24"/>
        <v>70</v>
      </c>
      <c r="R507" s="63">
        <f t="shared" si="25"/>
        <v>0</v>
      </c>
      <c r="S507" s="63">
        <f t="shared" si="26"/>
        <v>70</v>
      </c>
    </row>
    <row r="508" spans="1:19" s="77" customFormat="1" ht="12" x14ac:dyDescent="0.2">
      <c r="A508" s="68">
        <v>11786</v>
      </c>
      <c r="B508" s="68" t="s">
        <v>7848</v>
      </c>
      <c r="C508" s="88">
        <v>315</v>
      </c>
      <c r="D508" s="72" t="s">
        <v>7850</v>
      </c>
      <c r="E508" s="155" t="s">
        <v>19</v>
      </c>
      <c r="F508" s="74">
        <v>43071</v>
      </c>
      <c r="G508" s="95">
        <f>330+332.54</f>
        <v>662.54</v>
      </c>
      <c r="H508" s="63"/>
      <c r="I508" s="63"/>
      <c r="J508" s="63"/>
      <c r="K508" s="133"/>
      <c r="L508" s="63"/>
      <c r="M508" s="63"/>
      <c r="N508" s="63"/>
      <c r="O508" s="63"/>
      <c r="P508" s="63"/>
      <c r="Q508" s="63">
        <f t="shared" si="24"/>
        <v>662.54</v>
      </c>
      <c r="R508" s="63">
        <f t="shared" si="25"/>
        <v>0</v>
      </c>
      <c r="S508" s="63">
        <f t="shared" si="26"/>
        <v>662.54</v>
      </c>
    </row>
    <row r="509" spans="1:19" s="77" customFormat="1" ht="12" x14ac:dyDescent="0.2">
      <c r="A509" s="68">
        <v>147130</v>
      </c>
      <c r="B509" s="68" t="s">
        <v>7852</v>
      </c>
      <c r="C509" s="88">
        <v>316</v>
      </c>
      <c r="D509" s="72" t="s">
        <v>7874</v>
      </c>
      <c r="E509" s="155" t="s">
        <v>19</v>
      </c>
      <c r="F509" s="74">
        <v>43072</v>
      </c>
      <c r="G509" s="95">
        <f>259.27+238+41.3+331.58+41.3+138.56+41.3+144.12+172.52+41.3+416.28+41.3+353.78+41.3+353.75</f>
        <v>2655.66</v>
      </c>
      <c r="H509" s="63"/>
      <c r="I509" s="63">
        <f>850+850+878.33+1471.67</f>
        <v>4050</v>
      </c>
      <c r="J509" s="63"/>
      <c r="K509" s="133"/>
      <c r="L509" s="63"/>
      <c r="M509" s="63"/>
      <c r="N509" s="63"/>
      <c r="O509" s="63"/>
      <c r="P509" s="63"/>
      <c r="Q509" s="63">
        <f t="shared" si="24"/>
        <v>6705.66</v>
      </c>
      <c r="R509" s="63">
        <f t="shared" si="25"/>
        <v>0</v>
      </c>
      <c r="S509" s="63">
        <f t="shared" si="26"/>
        <v>6705.66</v>
      </c>
    </row>
    <row r="510" spans="1:19" s="77" customFormat="1" ht="12" x14ac:dyDescent="0.2">
      <c r="A510" s="68">
        <v>1509</v>
      </c>
      <c r="B510" s="68" t="s">
        <v>7853</v>
      </c>
      <c r="C510" s="88">
        <v>317</v>
      </c>
      <c r="D510" s="72" t="s">
        <v>7851</v>
      </c>
      <c r="E510" s="155" t="s">
        <v>19</v>
      </c>
      <c r="F510" s="74">
        <v>43075</v>
      </c>
      <c r="G510" s="95">
        <v>224.41</v>
      </c>
      <c r="H510" s="63"/>
      <c r="I510" s="63"/>
      <c r="J510" s="63"/>
      <c r="K510" s="133"/>
      <c r="L510" s="63"/>
      <c r="M510" s="63"/>
      <c r="N510" s="63"/>
      <c r="O510" s="63"/>
      <c r="P510" s="63"/>
      <c r="Q510" s="63">
        <f t="shared" si="24"/>
        <v>224.41</v>
      </c>
      <c r="R510" s="63">
        <f t="shared" si="25"/>
        <v>0</v>
      </c>
      <c r="S510" s="63">
        <f t="shared" si="26"/>
        <v>224.41</v>
      </c>
    </row>
    <row r="511" spans="1:19" s="77" customFormat="1" ht="12" x14ac:dyDescent="0.2">
      <c r="A511" s="68">
        <v>10119</v>
      </c>
      <c r="B511" s="68" t="s">
        <v>7856</v>
      </c>
      <c r="C511" s="88">
        <v>318</v>
      </c>
      <c r="D511" s="72" t="s">
        <v>7854</v>
      </c>
      <c r="E511" s="155" t="s">
        <v>19</v>
      </c>
      <c r="F511" s="74">
        <v>43075</v>
      </c>
      <c r="G511" s="95">
        <v>113.53</v>
      </c>
      <c r="H511" s="63"/>
      <c r="I511" s="63"/>
      <c r="J511" s="63"/>
      <c r="K511" s="133"/>
      <c r="L511" s="63"/>
      <c r="M511" s="63"/>
      <c r="N511" s="63"/>
      <c r="O511" s="63"/>
      <c r="P511" s="63"/>
      <c r="Q511" s="63">
        <f t="shared" si="24"/>
        <v>113.53</v>
      </c>
      <c r="R511" s="63">
        <f t="shared" si="25"/>
        <v>0</v>
      </c>
      <c r="S511" s="63">
        <f t="shared" si="26"/>
        <v>113.53</v>
      </c>
    </row>
    <row r="512" spans="1:19" s="77" customFormat="1" ht="12" x14ac:dyDescent="0.2">
      <c r="A512" s="68">
        <v>10119</v>
      </c>
      <c r="B512" s="68" t="s">
        <v>7856</v>
      </c>
      <c r="C512" s="88">
        <v>318</v>
      </c>
      <c r="D512" s="72" t="s">
        <v>7855</v>
      </c>
      <c r="E512" s="155" t="s">
        <v>19</v>
      </c>
      <c r="F512" s="74">
        <v>43075</v>
      </c>
      <c r="G512" s="95">
        <v>90</v>
      </c>
      <c r="H512" s="63"/>
      <c r="I512" s="63"/>
      <c r="J512" s="63"/>
      <c r="K512" s="133"/>
      <c r="L512" s="63"/>
      <c r="M512" s="63"/>
      <c r="N512" s="63"/>
      <c r="O512" s="63"/>
      <c r="P512" s="63"/>
      <c r="Q512" s="63">
        <f t="shared" si="24"/>
        <v>90</v>
      </c>
      <c r="R512" s="63">
        <f t="shared" si="25"/>
        <v>0</v>
      </c>
      <c r="S512" s="63">
        <f t="shared" si="26"/>
        <v>90</v>
      </c>
    </row>
    <row r="513" spans="1:19" s="77" customFormat="1" ht="12" x14ac:dyDescent="0.2">
      <c r="A513" s="68">
        <v>17420</v>
      </c>
      <c r="B513" s="68" t="s">
        <v>7857</v>
      </c>
      <c r="C513" s="88">
        <v>319</v>
      </c>
      <c r="D513" s="72" t="s">
        <v>7858</v>
      </c>
      <c r="E513" s="155" t="s">
        <v>19</v>
      </c>
      <c r="F513" s="74">
        <v>43080</v>
      </c>
      <c r="G513" s="95">
        <v>800.71</v>
      </c>
      <c r="H513" s="63"/>
      <c r="I513" s="63"/>
      <c r="J513" s="63"/>
      <c r="K513" s="133"/>
      <c r="L513" s="63"/>
      <c r="M513" s="63"/>
      <c r="N513" s="63"/>
      <c r="O513" s="63"/>
      <c r="P513" s="63"/>
      <c r="Q513" s="63">
        <f t="shared" si="24"/>
        <v>800.71</v>
      </c>
      <c r="R513" s="63">
        <f t="shared" si="25"/>
        <v>0</v>
      </c>
      <c r="S513" s="63">
        <f t="shared" si="26"/>
        <v>800.71</v>
      </c>
    </row>
    <row r="514" spans="1:19" s="77" customFormat="1" ht="12" x14ac:dyDescent="0.2">
      <c r="A514" s="68">
        <v>15753</v>
      </c>
      <c r="B514" s="68" t="s">
        <v>7859</v>
      </c>
      <c r="C514" s="88">
        <v>320</v>
      </c>
      <c r="D514" s="72" t="s">
        <v>7860</v>
      </c>
      <c r="E514" s="155" t="s">
        <v>19</v>
      </c>
      <c r="F514" s="74">
        <v>43082</v>
      </c>
      <c r="G514" s="95">
        <f>300+173.7</f>
        <v>473.7</v>
      </c>
      <c r="H514" s="63"/>
      <c r="I514" s="63"/>
      <c r="J514" s="63"/>
      <c r="K514" s="133"/>
      <c r="L514" s="63"/>
      <c r="M514" s="63"/>
      <c r="N514" s="63"/>
      <c r="O514" s="63"/>
      <c r="P514" s="63"/>
      <c r="Q514" s="63">
        <f t="shared" si="24"/>
        <v>473.7</v>
      </c>
      <c r="R514" s="63">
        <f t="shared" si="25"/>
        <v>0</v>
      </c>
      <c r="S514" s="63">
        <f t="shared" si="26"/>
        <v>473.7</v>
      </c>
    </row>
    <row r="515" spans="1:19" s="77" customFormat="1" ht="12" x14ac:dyDescent="0.2">
      <c r="A515" s="68">
        <v>14821</v>
      </c>
      <c r="B515" s="68" t="s">
        <v>7862</v>
      </c>
      <c r="C515" s="88">
        <v>321</v>
      </c>
      <c r="D515" s="72" t="s">
        <v>7861</v>
      </c>
      <c r="E515" s="155" t="s">
        <v>19</v>
      </c>
      <c r="F515" s="74">
        <v>43083</v>
      </c>
      <c r="G515" s="95">
        <v>172.73</v>
      </c>
      <c r="H515" s="63"/>
      <c r="I515" s="63"/>
      <c r="J515" s="63"/>
      <c r="K515" s="133"/>
      <c r="L515" s="63"/>
      <c r="M515" s="63"/>
      <c r="N515" s="63"/>
      <c r="O515" s="63"/>
      <c r="P515" s="63"/>
      <c r="Q515" s="63">
        <f t="shared" si="24"/>
        <v>172.73</v>
      </c>
      <c r="R515" s="63">
        <f t="shared" si="25"/>
        <v>0</v>
      </c>
      <c r="S515" s="63">
        <f t="shared" si="26"/>
        <v>172.73</v>
      </c>
    </row>
    <row r="516" spans="1:19" s="77" customFormat="1" ht="12" x14ac:dyDescent="0.2">
      <c r="A516" s="68">
        <v>16942</v>
      </c>
      <c r="B516" s="68" t="s">
        <v>7865</v>
      </c>
      <c r="C516" s="88">
        <v>322</v>
      </c>
      <c r="D516" s="72" t="s">
        <v>7863</v>
      </c>
      <c r="E516" s="155" t="s">
        <v>19</v>
      </c>
      <c r="F516" s="74">
        <v>43085</v>
      </c>
      <c r="G516" s="95">
        <f>505.12+237.59</f>
        <v>742.71</v>
      </c>
      <c r="H516" s="63"/>
      <c r="I516" s="63"/>
      <c r="J516" s="63"/>
      <c r="K516" s="133"/>
      <c r="L516" s="63"/>
      <c r="M516" s="63"/>
      <c r="N516" s="63"/>
      <c r="O516" s="63"/>
      <c r="P516" s="63"/>
      <c r="Q516" s="63">
        <f t="shared" si="24"/>
        <v>742.71</v>
      </c>
      <c r="R516" s="63">
        <f t="shared" si="25"/>
        <v>0</v>
      </c>
      <c r="S516" s="63">
        <f t="shared" si="26"/>
        <v>742.71</v>
      </c>
    </row>
    <row r="517" spans="1:19" s="77" customFormat="1" ht="12" x14ac:dyDescent="0.2">
      <c r="A517" s="68">
        <v>9268</v>
      </c>
      <c r="B517" s="68" t="s">
        <v>6271</v>
      </c>
      <c r="C517" s="88">
        <v>323</v>
      </c>
      <c r="D517" s="72" t="s">
        <v>7864</v>
      </c>
      <c r="E517" s="155" t="s">
        <v>19</v>
      </c>
      <c r="F517" s="74">
        <v>43085</v>
      </c>
      <c r="G517" s="95">
        <v>71.53</v>
      </c>
      <c r="H517" s="63"/>
      <c r="I517" s="63"/>
      <c r="J517" s="63"/>
      <c r="K517" s="133"/>
      <c r="L517" s="63"/>
      <c r="M517" s="63"/>
      <c r="N517" s="63"/>
      <c r="O517" s="63"/>
      <c r="P517" s="63"/>
      <c r="Q517" s="63">
        <f t="shared" si="24"/>
        <v>71.53</v>
      </c>
      <c r="R517" s="63">
        <f t="shared" si="25"/>
        <v>0</v>
      </c>
      <c r="S517" s="63">
        <f t="shared" si="26"/>
        <v>71.53</v>
      </c>
    </row>
    <row r="518" spans="1:19" s="77" customFormat="1" ht="12" x14ac:dyDescent="0.2">
      <c r="A518" s="68">
        <v>9740</v>
      </c>
      <c r="B518" s="68" t="s">
        <v>7867</v>
      </c>
      <c r="C518" s="88">
        <v>324</v>
      </c>
      <c r="D518" s="72" t="s">
        <v>7866</v>
      </c>
      <c r="E518" s="155" t="s">
        <v>19</v>
      </c>
      <c r="F518" s="74">
        <v>43087</v>
      </c>
      <c r="G518" s="95"/>
      <c r="H518" s="63"/>
      <c r="I518" s="63"/>
      <c r="J518" s="63"/>
      <c r="K518" s="133"/>
      <c r="L518" s="63"/>
      <c r="M518" s="63"/>
      <c r="N518" s="63"/>
      <c r="O518" s="63"/>
      <c r="P518" s="63"/>
      <c r="Q518" s="63">
        <f t="shared" si="24"/>
        <v>0</v>
      </c>
      <c r="R518" s="63">
        <f t="shared" si="25"/>
        <v>0</v>
      </c>
      <c r="S518" s="63">
        <f t="shared" si="26"/>
        <v>0</v>
      </c>
    </row>
    <row r="519" spans="1:19" s="77" customFormat="1" ht="12" x14ac:dyDescent="0.2">
      <c r="A519" s="68">
        <v>1540</v>
      </c>
      <c r="B519" s="68" t="s">
        <v>275</v>
      </c>
      <c r="C519" s="88">
        <v>325</v>
      </c>
      <c r="D519" s="72" t="s">
        <v>7868</v>
      </c>
      <c r="E519" s="155" t="s">
        <v>19</v>
      </c>
      <c r="F519" s="74">
        <v>43088</v>
      </c>
      <c r="G519" s="95">
        <v>48.53</v>
      </c>
      <c r="H519" s="63"/>
      <c r="I519" s="63"/>
      <c r="J519" s="63"/>
      <c r="K519" s="133"/>
      <c r="L519" s="63"/>
      <c r="M519" s="63"/>
      <c r="N519" s="63"/>
      <c r="O519" s="63"/>
      <c r="P519" s="63"/>
      <c r="Q519" s="63">
        <f t="shared" si="24"/>
        <v>48.53</v>
      </c>
      <c r="R519" s="63">
        <f t="shared" si="25"/>
        <v>0</v>
      </c>
      <c r="S519" s="63">
        <f t="shared" si="26"/>
        <v>48.53</v>
      </c>
    </row>
    <row r="520" spans="1:19" s="77" customFormat="1" ht="12" x14ac:dyDescent="0.2">
      <c r="A520" s="68">
        <v>1540</v>
      </c>
      <c r="B520" s="68" t="s">
        <v>275</v>
      </c>
      <c r="C520" s="88">
        <v>325</v>
      </c>
      <c r="D520" s="72" t="s">
        <v>7869</v>
      </c>
      <c r="E520" s="155" t="s">
        <v>19</v>
      </c>
      <c r="F520" s="74">
        <v>43088</v>
      </c>
      <c r="G520" s="95">
        <v>106.53</v>
      </c>
      <c r="H520" s="63"/>
      <c r="I520" s="63"/>
      <c r="J520" s="63"/>
      <c r="K520" s="133"/>
      <c r="L520" s="63"/>
      <c r="M520" s="63"/>
      <c r="N520" s="63"/>
      <c r="O520" s="63"/>
      <c r="P520" s="63"/>
      <c r="Q520" s="63">
        <f t="shared" si="24"/>
        <v>106.53</v>
      </c>
      <c r="R520" s="63">
        <f t="shared" si="25"/>
        <v>0</v>
      </c>
      <c r="S520" s="63">
        <f t="shared" si="26"/>
        <v>106.53</v>
      </c>
    </row>
    <row r="521" spans="1:19" s="77" customFormat="1" ht="12" x14ac:dyDescent="0.2">
      <c r="A521" s="68">
        <v>8020</v>
      </c>
      <c r="B521" s="68" t="s">
        <v>7870</v>
      </c>
      <c r="C521" s="88">
        <v>326</v>
      </c>
      <c r="D521" s="72" t="s">
        <v>7872</v>
      </c>
      <c r="E521" s="155" t="s">
        <v>19</v>
      </c>
      <c r="F521" s="74">
        <v>43089</v>
      </c>
      <c r="G521" s="95">
        <v>165.33</v>
      </c>
      <c r="H521" s="63"/>
      <c r="I521" s="63"/>
      <c r="J521" s="63"/>
      <c r="K521" s="133"/>
      <c r="L521" s="63"/>
      <c r="M521" s="63"/>
      <c r="N521" s="63"/>
      <c r="O521" s="63"/>
      <c r="P521" s="63"/>
      <c r="Q521" s="63">
        <f t="shared" si="24"/>
        <v>165.33</v>
      </c>
      <c r="R521" s="63">
        <f t="shared" si="25"/>
        <v>0</v>
      </c>
      <c r="S521" s="63">
        <f t="shared" si="26"/>
        <v>165.33</v>
      </c>
    </row>
    <row r="522" spans="1:19" s="77" customFormat="1" ht="12" x14ac:dyDescent="0.2">
      <c r="A522" s="68">
        <v>12742</v>
      </c>
      <c r="B522" s="68" t="s">
        <v>7871</v>
      </c>
      <c r="C522" s="88">
        <v>327</v>
      </c>
      <c r="D522" s="72" t="s">
        <v>7873</v>
      </c>
      <c r="E522" s="155" t="s">
        <v>19</v>
      </c>
      <c r="F522" s="74">
        <v>43090</v>
      </c>
      <c r="G522" s="95">
        <f>67.31+511.28</f>
        <v>578.58999999999992</v>
      </c>
      <c r="H522" s="63"/>
      <c r="I522" s="63">
        <v>226.67</v>
      </c>
      <c r="J522" s="63"/>
      <c r="K522" s="133"/>
      <c r="L522" s="63"/>
      <c r="M522" s="63"/>
      <c r="N522" s="63"/>
      <c r="O522" s="63"/>
      <c r="P522" s="63"/>
      <c r="Q522" s="63">
        <f t="shared" si="24"/>
        <v>805.25999999999988</v>
      </c>
      <c r="R522" s="63">
        <f t="shared" si="25"/>
        <v>0</v>
      </c>
      <c r="S522" s="63">
        <f t="shared" si="26"/>
        <v>805.25999999999988</v>
      </c>
    </row>
    <row r="523" spans="1:19" s="77" customFormat="1" ht="12" x14ac:dyDescent="0.2">
      <c r="A523" s="68">
        <v>9199</v>
      </c>
      <c r="B523" s="68" t="s">
        <v>7876</v>
      </c>
      <c r="C523" s="88">
        <v>328</v>
      </c>
      <c r="D523" s="72" t="s">
        <v>7875</v>
      </c>
      <c r="E523" s="155" t="s">
        <v>19</v>
      </c>
      <c r="F523" s="74">
        <v>43091</v>
      </c>
      <c r="G523" s="95"/>
      <c r="H523" s="63"/>
      <c r="I523" s="63"/>
      <c r="J523" s="63"/>
      <c r="K523" s="133"/>
      <c r="L523" s="63"/>
      <c r="M523" s="63"/>
      <c r="N523" s="63"/>
      <c r="O523" s="63"/>
      <c r="P523" s="63"/>
      <c r="Q523" s="63">
        <f t="shared" si="24"/>
        <v>0</v>
      </c>
      <c r="R523" s="63">
        <f t="shared" si="25"/>
        <v>0</v>
      </c>
      <c r="S523" s="63">
        <f t="shared" si="26"/>
        <v>0</v>
      </c>
    </row>
    <row r="524" spans="1:19" s="77" customFormat="1" ht="12" x14ac:dyDescent="0.2">
      <c r="A524" s="68">
        <v>8451</v>
      </c>
      <c r="B524" s="68" t="s">
        <v>7884</v>
      </c>
      <c r="C524" s="88">
        <v>329</v>
      </c>
      <c r="D524" s="72" t="s">
        <v>7877</v>
      </c>
      <c r="E524" s="155" t="s">
        <v>19</v>
      </c>
      <c r="F524" s="74">
        <v>43092</v>
      </c>
      <c r="G524" s="95">
        <f>300+323.61</f>
        <v>623.61</v>
      </c>
      <c r="H524" s="63"/>
      <c r="I524" s="63"/>
      <c r="J524" s="63"/>
      <c r="K524" s="133"/>
      <c r="L524" s="63"/>
      <c r="M524" s="63"/>
      <c r="N524" s="63"/>
      <c r="O524" s="63"/>
      <c r="P524" s="63"/>
      <c r="Q524" s="63">
        <f t="shared" si="24"/>
        <v>623.61</v>
      </c>
      <c r="R524" s="63">
        <f t="shared" si="25"/>
        <v>0</v>
      </c>
      <c r="S524" s="63">
        <f t="shared" si="26"/>
        <v>623.61</v>
      </c>
    </row>
    <row r="525" spans="1:19" s="77" customFormat="1" ht="12" x14ac:dyDescent="0.2">
      <c r="A525" s="68">
        <v>2944</v>
      </c>
      <c r="B525" s="68" t="s">
        <v>7885</v>
      </c>
      <c r="C525" s="88">
        <v>330</v>
      </c>
      <c r="D525" s="72" t="s">
        <v>7878</v>
      </c>
      <c r="E525" s="155" t="s">
        <v>19</v>
      </c>
      <c r="F525" s="74">
        <v>43092</v>
      </c>
      <c r="G525" s="95">
        <f>400+251.12</f>
        <v>651.12</v>
      </c>
      <c r="H525" s="63"/>
      <c r="I525" s="63"/>
      <c r="J525" s="63"/>
      <c r="K525" s="133"/>
      <c r="L525" s="63"/>
      <c r="M525" s="63"/>
      <c r="N525" s="63"/>
      <c r="O525" s="63"/>
      <c r="P525" s="63"/>
      <c r="Q525" s="63">
        <f t="shared" si="24"/>
        <v>651.12</v>
      </c>
      <c r="R525" s="63">
        <f t="shared" si="25"/>
        <v>0</v>
      </c>
      <c r="S525" s="63">
        <f t="shared" si="26"/>
        <v>651.12</v>
      </c>
    </row>
    <row r="526" spans="1:19" s="77" customFormat="1" ht="12" x14ac:dyDescent="0.2">
      <c r="A526" s="68">
        <v>16041</v>
      </c>
      <c r="B526" s="68" t="s">
        <v>7886</v>
      </c>
      <c r="C526" s="88">
        <v>331</v>
      </c>
      <c r="D526" s="72" t="s">
        <v>7879</v>
      </c>
      <c r="E526" s="155" t="s">
        <v>19</v>
      </c>
      <c r="F526" s="74">
        <v>43092</v>
      </c>
      <c r="G526" s="95">
        <f>413.05+580.95+98.86+113.92+38.39+157.87+31.89+49.43+64.77+74.89+39.59+190.58+187.29+88.17+44.5+8732.4+140.6+19.64+175</f>
        <v>11241.789999999999</v>
      </c>
      <c r="H526" s="63"/>
      <c r="I526" s="63">
        <v>850</v>
      </c>
      <c r="J526" s="63"/>
      <c r="K526" s="133"/>
      <c r="L526" s="63"/>
      <c r="M526" s="63"/>
      <c r="N526" s="63"/>
      <c r="O526" s="63"/>
      <c r="P526" s="63"/>
      <c r="Q526" s="63">
        <f t="shared" si="24"/>
        <v>12091.789999999999</v>
      </c>
      <c r="R526" s="63">
        <f t="shared" si="25"/>
        <v>0</v>
      </c>
      <c r="S526" s="63">
        <f t="shared" si="26"/>
        <v>12091.789999999999</v>
      </c>
    </row>
    <row r="527" spans="1:19" s="77" customFormat="1" ht="12" x14ac:dyDescent="0.2">
      <c r="A527" s="68">
        <v>149042</v>
      </c>
      <c r="B527" s="68" t="s">
        <v>7887</v>
      </c>
      <c r="C527" s="88">
        <v>332</v>
      </c>
      <c r="D527" s="72" t="s">
        <v>7880</v>
      </c>
      <c r="E527" s="155" t="s">
        <v>19</v>
      </c>
      <c r="F527" s="74">
        <v>43095</v>
      </c>
      <c r="G527" s="95">
        <v>48.66</v>
      </c>
      <c r="H527" s="63"/>
      <c r="I527" s="63"/>
      <c r="J527" s="63"/>
      <c r="K527" s="133"/>
      <c r="L527" s="63"/>
      <c r="M527" s="63"/>
      <c r="N527" s="63"/>
      <c r="O527" s="63"/>
      <c r="P527" s="63"/>
      <c r="Q527" s="63">
        <f t="shared" si="24"/>
        <v>48.66</v>
      </c>
      <c r="R527" s="63">
        <f t="shared" si="25"/>
        <v>0</v>
      </c>
      <c r="S527" s="63">
        <f t="shared" si="26"/>
        <v>48.66</v>
      </c>
    </row>
    <row r="528" spans="1:19" s="77" customFormat="1" ht="12" x14ac:dyDescent="0.2">
      <c r="A528" s="68">
        <v>149042</v>
      </c>
      <c r="B528" s="68" t="s">
        <v>7887</v>
      </c>
      <c r="C528" s="88">
        <v>332</v>
      </c>
      <c r="D528" s="72" t="s">
        <v>7881</v>
      </c>
      <c r="E528" s="155" t="s">
        <v>19</v>
      </c>
      <c r="F528" s="74">
        <v>43095</v>
      </c>
      <c r="G528" s="95">
        <v>48.19</v>
      </c>
      <c r="H528" s="63"/>
      <c r="I528" s="63"/>
      <c r="J528" s="63"/>
      <c r="K528" s="133"/>
      <c r="L528" s="63"/>
      <c r="M528" s="63"/>
      <c r="N528" s="63"/>
      <c r="O528" s="63"/>
      <c r="P528" s="63"/>
      <c r="Q528" s="63">
        <f t="shared" si="24"/>
        <v>48.19</v>
      </c>
      <c r="R528" s="63">
        <f t="shared" si="25"/>
        <v>0</v>
      </c>
      <c r="S528" s="63">
        <f t="shared" si="26"/>
        <v>48.19</v>
      </c>
    </row>
    <row r="529" spans="1:19" s="77" customFormat="1" ht="12" x14ac:dyDescent="0.2">
      <c r="A529" s="68">
        <v>16721</v>
      </c>
      <c r="B529" s="68" t="s">
        <v>7888</v>
      </c>
      <c r="C529" s="88">
        <v>333</v>
      </c>
      <c r="D529" s="72" t="s">
        <v>7882</v>
      </c>
      <c r="E529" s="155" t="s">
        <v>19</v>
      </c>
      <c r="F529" s="74">
        <v>43097</v>
      </c>
      <c r="G529" s="95">
        <v>251.49</v>
      </c>
      <c r="H529" s="63"/>
      <c r="I529" s="63"/>
      <c r="J529" s="63"/>
      <c r="K529" s="133"/>
      <c r="L529" s="63"/>
      <c r="M529" s="63"/>
      <c r="N529" s="63"/>
      <c r="O529" s="63"/>
      <c r="P529" s="63"/>
      <c r="Q529" s="63">
        <f t="shared" ref="Q529:R532" si="27">+G529+I529+K529+M529+O529</f>
        <v>251.49</v>
      </c>
      <c r="R529" s="63">
        <f t="shared" si="27"/>
        <v>0</v>
      </c>
      <c r="S529" s="63">
        <f>+Q529+R529</f>
        <v>251.49</v>
      </c>
    </row>
    <row r="530" spans="1:19" s="77" customFormat="1" ht="12" x14ac:dyDescent="0.2">
      <c r="A530" s="68">
        <v>1974</v>
      </c>
      <c r="B530" s="68" t="s">
        <v>7890</v>
      </c>
      <c r="C530" s="88">
        <v>334</v>
      </c>
      <c r="D530" s="72" t="s">
        <v>7896</v>
      </c>
      <c r="E530" s="155" t="s">
        <v>19</v>
      </c>
      <c r="F530" s="74">
        <v>43097</v>
      </c>
      <c r="G530" s="95">
        <f>25.3+400+238+3466.85+115.88+263.99+395.8+242.75+2628.49+170.06+155.59+1475.98+243.21+650+186.52+194.43+558+41.3+67.78+240+4678.33+41.3+41.3+194.9</f>
        <v>16715.760000000002</v>
      </c>
      <c r="H530" s="63"/>
      <c r="I530" s="63">
        <f>850+850+850+850+650</f>
        <v>4050</v>
      </c>
      <c r="J530" s="63"/>
      <c r="K530" s="133"/>
      <c r="L530" s="63"/>
      <c r="M530" s="63"/>
      <c r="N530" s="63"/>
      <c r="O530" s="63"/>
      <c r="P530" s="63"/>
      <c r="Q530" s="63">
        <f t="shared" si="27"/>
        <v>20765.760000000002</v>
      </c>
      <c r="R530" s="63">
        <f t="shared" si="27"/>
        <v>0</v>
      </c>
      <c r="S530" s="63">
        <f>+Q530+R530</f>
        <v>20765.760000000002</v>
      </c>
    </row>
    <row r="531" spans="1:19" s="77" customFormat="1" ht="12" x14ac:dyDescent="0.2">
      <c r="A531" s="68">
        <v>1974</v>
      </c>
      <c r="B531" s="68" t="s">
        <v>7889</v>
      </c>
      <c r="C531" s="88">
        <v>334</v>
      </c>
      <c r="D531" s="72" t="s">
        <v>7883</v>
      </c>
      <c r="E531" s="155" t="s">
        <v>19</v>
      </c>
      <c r="F531" s="74">
        <v>43097</v>
      </c>
      <c r="G531" s="95">
        <f>400+179.27+41.3+41.3+119.16+784.3+353.75+381.97+41.3+353.78+249.61+120+35.85+41.3+373.08+78.19+437.07+236</f>
        <v>4267.2300000000005</v>
      </c>
      <c r="H531" s="63"/>
      <c r="I531" s="63">
        <f>566.67+3483.33</f>
        <v>4050</v>
      </c>
      <c r="J531" s="63"/>
      <c r="K531" s="133"/>
      <c r="L531" s="63"/>
      <c r="M531" s="63"/>
      <c r="N531" s="63"/>
      <c r="O531" s="63"/>
      <c r="P531" s="63"/>
      <c r="Q531" s="63">
        <f t="shared" si="27"/>
        <v>8317.23</v>
      </c>
      <c r="R531" s="63">
        <f t="shared" si="27"/>
        <v>0</v>
      </c>
      <c r="S531" s="63">
        <f>+Q531+R531</f>
        <v>8317.23</v>
      </c>
    </row>
    <row r="532" spans="1:19" s="77" customFormat="1" ht="12" x14ac:dyDescent="0.2">
      <c r="A532" s="68">
        <v>1974</v>
      </c>
      <c r="B532" s="68" t="s">
        <v>7889</v>
      </c>
      <c r="C532" s="88">
        <v>334</v>
      </c>
      <c r="D532" s="72" t="s">
        <v>7895</v>
      </c>
      <c r="E532" s="155" t="s">
        <v>19</v>
      </c>
      <c r="F532" s="74">
        <v>43097</v>
      </c>
      <c r="G532" s="95">
        <f>1203.95+118.99</f>
        <v>1322.94</v>
      </c>
      <c r="H532" s="63"/>
      <c r="I532" s="63"/>
      <c r="J532" s="63"/>
      <c r="K532" s="133"/>
      <c r="L532" s="63"/>
      <c r="M532" s="63"/>
      <c r="N532" s="63"/>
      <c r="O532" s="63"/>
      <c r="P532" s="63"/>
      <c r="Q532" s="63">
        <f t="shared" si="27"/>
        <v>1322.94</v>
      </c>
      <c r="R532" s="63">
        <f t="shared" si="27"/>
        <v>0</v>
      </c>
      <c r="S532" s="63">
        <f>+Q532+R532</f>
        <v>1322.94</v>
      </c>
    </row>
    <row r="533" spans="1:19" s="77" customFormat="1" ht="12" x14ac:dyDescent="0.2">
      <c r="A533" s="85"/>
      <c r="B533" s="68"/>
      <c r="C533" s="88"/>
      <c r="D533" s="72"/>
      <c r="E533" s="155"/>
      <c r="F533" s="74"/>
      <c r="G533" s="95"/>
      <c r="H533" s="63"/>
      <c r="I533" s="63"/>
      <c r="J533" s="63"/>
      <c r="K533" s="133"/>
      <c r="L533" s="63"/>
      <c r="M533" s="63"/>
      <c r="N533" s="63"/>
      <c r="O533" s="63"/>
      <c r="P533" s="63"/>
      <c r="Q533" s="63"/>
      <c r="R533" s="63"/>
      <c r="S533" s="63"/>
    </row>
    <row r="534" spans="1:19" s="77" customFormat="1" ht="12" x14ac:dyDescent="0.2">
      <c r="A534" s="68"/>
      <c r="B534" s="85"/>
      <c r="C534" s="88"/>
      <c r="D534" s="72"/>
      <c r="E534" s="155"/>
      <c r="F534" s="74"/>
      <c r="G534" s="95"/>
      <c r="H534" s="63"/>
      <c r="I534" s="63"/>
      <c r="J534" s="63"/>
      <c r="K534" s="133"/>
      <c r="L534" s="63"/>
      <c r="M534" s="63"/>
      <c r="N534" s="63"/>
      <c r="O534" s="63"/>
      <c r="P534" s="63"/>
      <c r="Q534" s="63"/>
      <c r="R534" s="63"/>
      <c r="S534" s="63"/>
    </row>
    <row r="535" spans="1:19" s="77" customFormat="1" x14ac:dyDescent="0.25">
      <c r="A535" s="68"/>
      <c r="B535" s="7"/>
      <c r="C535" s="88"/>
      <c r="D535" s="72"/>
      <c r="E535" s="157"/>
      <c r="F535" s="74"/>
      <c r="G535" s="95"/>
      <c r="H535" s="63"/>
      <c r="I535" s="63"/>
      <c r="J535" s="63"/>
      <c r="K535" s="133"/>
      <c r="L535" s="63"/>
      <c r="M535" s="63"/>
      <c r="N535" s="63"/>
      <c r="O535" s="63"/>
      <c r="P535" s="63"/>
      <c r="Q535" s="63"/>
      <c r="R535" s="63"/>
      <c r="S535" s="63"/>
    </row>
    <row r="536" spans="1:19" s="77" customFormat="1" x14ac:dyDescent="0.25">
      <c r="A536"/>
      <c r="B536" s="13"/>
      <c r="C536" s="161"/>
      <c r="D536" s="80"/>
      <c r="E536" s="162"/>
      <c r="F536"/>
      <c r="G536" s="83">
        <f>SUM(G1:G535)</f>
        <v>579318.11200000008</v>
      </c>
      <c r="H536" s="63">
        <f t="shared" ref="H536:P536" si="28">SUM(H1:H535)</f>
        <v>0</v>
      </c>
      <c r="I536" s="63">
        <f t="shared" si="28"/>
        <v>192872.07</v>
      </c>
      <c r="J536" s="63">
        <f t="shared" si="28"/>
        <v>0</v>
      </c>
      <c r="K536" s="133">
        <f t="shared" si="28"/>
        <v>21060</v>
      </c>
      <c r="L536" s="63">
        <f t="shared" si="28"/>
        <v>0</v>
      </c>
      <c r="M536" s="63">
        <f t="shared" si="28"/>
        <v>15500</v>
      </c>
      <c r="N536" s="63">
        <f t="shared" si="28"/>
        <v>0</v>
      </c>
      <c r="O536" s="63">
        <f t="shared" si="28"/>
        <v>64800</v>
      </c>
      <c r="P536" s="63">
        <f t="shared" si="28"/>
        <v>0</v>
      </c>
      <c r="Q536" s="63">
        <f>+G536+I536+K536+M536+O536</f>
        <v>873550.18200000003</v>
      </c>
      <c r="R536" s="63">
        <f>+H536+J536+L536+N536+P536</f>
        <v>0</v>
      </c>
      <c r="S536" s="63">
        <f>+Q536+R536</f>
        <v>873550.18200000003</v>
      </c>
    </row>
    <row r="537" spans="1:19" x14ac:dyDescent="0.25">
      <c r="B537" s="13"/>
      <c r="C537" s="163"/>
      <c r="D537" s="13"/>
      <c r="E537" s="162"/>
    </row>
  </sheetData>
  <mergeCells count="25">
    <mergeCell ref="A2:S2"/>
    <mergeCell ref="A3:A6"/>
    <mergeCell ref="B3:B6"/>
    <mergeCell ref="C3:C6"/>
    <mergeCell ref="D3:D6"/>
    <mergeCell ref="E3:E6"/>
    <mergeCell ref="F3:F6"/>
    <mergeCell ref="G3:H3"/>
    <mergeCell ref="I3:J3"/>
    <mergeCell ref="K3:L3"/>
    <mergeCell ref="G4:G6"/>
    <mergeCell ref="H4:H6"/>
    <mergeCell ref="I4:I6"/>
    <mergeCell ref="J4:J6"/>
    <mergeCell ref="K4:K6"/>
    <mergeCell ref="M3:N3"/>
    <mergeCell ref="O3:P3"/>
    <mergeCell ref="Q3:Q6"/>
    <mergeCell ref="R3:R6"/>
    <mergeCell ref="S3:S6"/>
    <mergeCell ref="L4:L6"/>
    <mergeCell ref="M4:M6"/>
    <mergeCell ref="N4:N6"/>
    <mergeCell ref="O4:O6"/>
    <mergeCell ref="P4:P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0"/>
  <sheetViews>
    <sheetView zoomScale="110" zoomScaleNormal="110" workbookViewId="0">
      <pane xSplit="6" ySplit="13" topLeftCell="G681" activePane="bottomRight" state="frozen"/>
      <selection pane="topRight" activeCell="G1" sqref="G1"/>
      <selection pane="bottomLeft" activeCell="A14" sqref="A14"/>
      <selection pane="bottomRight" activeCell="A2" sqref="A2:S2"/>
    </sheetView>
  </sheetViews>
  <sheetFormatPr baseColWidth="10" defaultRowHeight="12" x14ac:dyDescent="0.2"/>
  <cols>
    <col min="1" max="1" width="8" style="68" customWidth="1"/>
    <col min="2" max="2" width="8.85546875" style="72" customWidth="1"/>
    <col min="3" max="3" width="10.7109375" style="72" customWidth="1"/>
    <col min="4" max="4" width="29.5703125" style="73" customWidth="1"/>
    <col min="5" max="5" width="16.28515625" style="72" customWidth="1"/>
    <col min="6" max="6" width="12.7109375" style="68" bestFit="1" customWidth="1"/>
    <col min="7" max="10" width="11.42578125" style="63"/>
    <col min="11" max="17" width="11.42578125" style="97"/>
    <col min="18" max="18" width="14" style="97" customWidth="1"/>
    <col min="19" max="19" width="11.42578125" style="97"/>
    <col min="20" max="16384" width="11.42578125" style="77"/>
  </cols>
  <sheetData>
    <row r="1" spans="1:19" ht="12.75" thickBot="1" x14ac:dyDescent="0.25">
      <c r="A1" s="102"/>
      <c r="B1" s="71"/>
      <c r="C1" s="71"/>
      <c r="E1" s="73"/>
      <c r="F1" s="134"/>
      <c r="G1" s="128"/>
      <c r="H1" s="128"/>
      <c r="I1" s="128"/>
      <c r="J1" s="128"/>
      <c r="K1" s="94"/>
      <c r="L1" s="94"/>
      <c r="M1" s="94"/>
      <c r="N1" s="94"/>
      <c r="O1" s="94"/>
      <c r="P1" s="94"/>
      <c r="Q1" s="94"/>
      <c r="R1" s="94"/>
      <c r="S1" s="94"/>
    </row>
    <row r="2" spans="1:19" ht="16.5" thickBot="1" x14ac:dyDescent="0.25">
      <c r="A2" s="198" t="s">
        <v>9393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200"/>
    </row>
    <row r="3" spans="1:19" ht="15" customHeight="1" x14ac:dyDescent="0.2">
      <c r="A3" s="201" t="s">
        <v>0</v>
      </c>
      <c r="B3" s="202" t="s">
        <v>1</v>
      </c>
      <c r="C3" s="203" t="s">
        <v>2</v>
      </c>
      <c r="D3" s="204" t="s">
        <v>3</v>
      </c>
      <c r="E3" s="203" t="s">
        <v>4</v>
      </c>
      <c r="F3" s="208" t="s">
        <v>5</v>
      </c>
      <c r="G3" s="209" t="s">
        <v>6</v>
      </c>
      <c r="H3" s="209"/>
      <c r="I3" s="209" t="s">
        <v>7</v>
      </c>
      <c r="J3" s="209"/>
      <c r="K3" s="210" t="s">
        <v>8</v>
      </c>
      <c r="L3" s="210"/>
      <c r="M3" s="210" t="s">
        <v>9</v>
      </c>
      <c r="N3" s="210"/>
      <c r="O3" s="210" t="s">
        <v>10</v>
      </c>
      <c r="P3" s="210"/>
      <c r="Q3" s="215" t="s">
        <v>11</v>
      </c>
      <c r="R3" s="215" t="s">
        <v>12</v>
      </c>
      <c r="S3" s="217" t="s">
        <v>13</v>
      </c>
    </row>
    <row r="4" spans="1:19" x14ac:dyDescent="0.2">
      <c r="A4" s="201"/>
      <c r="B4" s="202"/>
      <c r="C4" s="203"/>
      <c r="D4" s="204"/>
      <c r="E4" s="203"/>
      <c r="F4" s="208"/>
      <c r="G4" s="211" t="s">
        <v>14</v>
      </c>
      <c r="H4" s="203" t="s">
        <v>15</v>
      </c>
      <c r="I4" s="211" t="s">
        <v>14</v>
      </c>
      <c r="J4" s="211" t="s">
        <v>15</v>
      </c>
      <c r="K4" s="213" t="s">
        <v>14</v>
      </c>
      <c r="L4" s="211" t="s">
        <v>15</v>
      </c>
      <c r="M4" s="211" t="s">
        <v>14</v>
      </c>
      <c r="N4" s="211" t="s">
        <v>15</v>
      </c>
      <c r="O4" s="211" t="s">
        <v>14</v>
      </c>
      <c r="P4" s="211" t="s">
        <v>15</v>
      </c>
      <c r="Q4" s="211"/>
      <c r="R4" s="211"/>
      <c r="S4" s="218"/>
    </row>
    <row r="5" spans="1:19" x14ac:dyDescent="0.2">
      <c r="A5" s="201"/>
      <c r="B5" s="202"/>
      <c r="C5" s="203"/>
      <c r="D5" s="204"/>
      <c r="E5" s="203"/>
      <c r="F5" s="208"/>
      <c r="G5" s="211"/>
      <c r="H5" s="203"/>
      <c r="I5" s="211"/>
      <c r="J5" s="211"/>
      <c r="K5" s="213"/>
      <c r="L5" s="211"/>
      <c r="M5" s="211"/>
      <c r="N5" s="211"/>
      <c r="O5" s="211"/>
      <c r="P5" s="211"/>
      <c r="Q5" s="211"/>
      <c r="R5" s="211"/>
      <c r="S5" s="218"/>
    </row>
    <row r="6" spans="1:19" x14ac:dyDescent="0.2">
      <c r="A6" s="201"/>
      <c r="B6" s="202"/>
      <c r="C6" s="203"/>
      <c r="D6" s="204"/>
      <c r="E6" s="203"/>
      <c r="F6" s="208"/>
      <c r="G6" s="211"/>
      <c r="H6" s="212"/>
      <c r="I6" s="211"/>
      <c r="J6" s="211"/>
      <c r="K6" s="214"/>
      <c r="L6" s="216"/>
      <c r="M6" s="216"/>
      <c r="N6" s="216"/>
      <c r="O6" s="216"/>
      <c r="P6" s="216"/>
      <c r="Q6" s="216"/>
      <c r="R6" s="216"/>
      <c r="S6" s="219"/>
    </row>
    <row r="7" spans="1:19" x14ac:dyDescent="0.2">
      <c r="A7" s="85">
        <v>130409</v>
      </c>
      <c r="B7" s="85" t="s">
        <v>6034</v>
      </c>
      <c r="C7" s="88">
        <v>1</v>
      </c>
      <c r="D7" s="86" t="s">
        <v>6033</v>
      </c>
      <c r="E7" s="85" t="s">
        <v>19</v>
      </c>
      <c r="F7" s="87">
        <v>42370</v>
      </c>
      <c r="G7" s="95">
        <f>131</f>
        <v>131</v>
      </c>
      <c r="K7" s="133"/>
      <c r="L7" s="63"/>
      <c r="M7" s="63"/>
      <c r="N7" s="63"/>
      <c r="O7" s="63"/>
      <c r="P7" s="63"/>
      <c r="Q7" s="63">
        <f>+G7+I7+K7+M7+O7</f>
        <v>131</v>
      </c>
      <c r="R7" s="63">
        <f>+H7+J7+L7+N7+P7</f>
        <v>0</v>
      </c>
      <c r="S7" s="63">
        <f>+Q7+R7</f>
        <v>131</v>
      </c>
    </row>
    <row r="8" spans="1:19" x14ac:dyDescent="0.2">
      <c r="A8" s="85">
        <v>121690</v>
      </c>
      <c r="B8" s="85" t="s">
        <v>6035</v>
      </c>
      <c r="C8" s="76">
        <v>2</v>
      </c>
      <c r="D8" s="86" t="s">
        <v>5959</v>
      </c>
      <c r="E8" s="85" t="s">
        <v>19</v>
      </c>
      <c r="F8" s="87">
        <v>42371</v>
      </c>
      <c r="G8" s="83">
        <f>100+240+41.3+47.2+86.51+106.14+1182.49+906.55</f>
        <v>2710.1899999999996</v>
      </c>
      <c r="K8" s="133"/>
      <c r="L8" s="63"/>
      <c r="M8" s="63"/>
      <c r="N8" s="63"/>
      <c r="O8" s="63"/>
      <c r="P8" s="63"/>
      <c r="Q8" s="63">
        <f t="shared" ref="Q8:Q15" si="0">+G8+I8+K8+M8+O8</f>
        <v>2710.1899999999996</v>
      </c>
      <c r="R8" s="63">
        <f t="shared" ref="R8:R15" si="1">+H8+J8+L8+N8+P8</f>
        <v>0</v>
      </c>
      <c r="S8" s="63">
        <f t="shared" ref="S8:S15" si="2">+Q8+R8</f>
        <v>2710.1899999999996</v>
      </c>
    </row>
    <row r="9" spans="1:19" x14ac:dyDescent="0.2">
      <c r="A9" s="85">
        <v>121690</v>
      </c>
      <c r="B9" s="85" t="s">
        <v>6035</v>
      </c>
      <c r="C9" s="76">
        <v>2</v>
      </c>
      <c r="D9" s="86" t="s">
        <v>5960</v>
      </c>
      <c r="E9" s="85" t="s">
        <v>19</v>
      </c>
      <c r="F9" s="87">
        <v>42371</v>
      </c>
      <c r="G9" s="83"/>
      <c r="K9" s="133"/>
      <c r="L9" s="63"/>
      <c r="M9" s="63"/>
      <c r="N9" s="63"/>
      <c r="O9" s="63"/>
      <c r="P9" s="63"/>
      <c r="Q9" s="63">
        <f t="shared" si="0"/>
        <v>0</v>
      </c>
      <c r="R9" s="63">
        <f t="shared" si="1"/>
        <v>0</v>
      </c>
      <c r="S9" s="63">
        <f t="shared" si="2"/>
        <v>0</v>
      </c>
    </row>
    <row r="10" spans="1:19" x14ac:dyDescent="0.2">
      <c r="A10" s="85">
        <v>124376</v>
      </c>
      <c r="B10" s="85" t="s">
        <v>6036</v>
      </c>
      <c r="C10" s="76">
        <v>3</v>
      </c>
      <c r="D10" s="86" t="s">
        <v>5961</v>
      </c>
      <c r="E10" s="85" t="s">
        <v>19</v>
      </c>
      <c r="F10" s="87">
        <v>42372</v>
      </c>
      <c r="G10" s="83">
        <f>2905.07+1040.5</f>
        <v>3945.57</v>
      </c>
      <c r="K10" s="133"/>
      <c r="L10" s="63"/>
      <c r="M10" s="63"/>
      <c r="N10" s="63"/>
      <c r="O10" s="63"/>
      <c r="P10" s="63"/>
      <c r="Q10" s="63">
        <f t="shared" si="0"/>
        <v>3945.57</v>
      </c>
      <c r="R10" s="63">
        <f t="shared" si="1"/>
        <v>0</v>
      </c>
      <c r="S10" s="63">
        <f t="shared" si="2"/>
        <v>3945.57</v>
      </c>
    </row>
    <row r="11" spans="1:19" x14ac:dyDescent="0.2">
      <c r="A11" s="85">
        <v>123550</v>
      </c>
      <c r="B11" s="85" t="s">
        <v>6037</v>
      </c>
      <c r="C11" s="76">
        <v>4</v>
      </c>
      <c r="D11" s="86" t="s">
        <v>5962</v>
      </c>
      <c r="E11" s="85" t="s">
        <v>19</v>
      </c>
      <c r="F11" s="87">
        <v>42372</v>
      </c>
      <c r="G11" s="83">
        <f>56.64</f>
        <v>56.64</v>
      </c>
      <c r="K11" s="133"/>
      <c r="L11" s="63"/>
      <c r="M11" s="63"/>
      <c r="N11" s="63"/>
      <c r="O11" s="63"/>
      <c r="P11" s="63"/>
      <c r="Q11" s="63">
        <f t="shared" si="0"/>
        <v>56.64</v>
      </c>
      <c r="R11" s="63">
        <f t="shared" si="1"/>
        <v>0</v>
      </c>
      <c r="S11" s="63">
        <f t="shared" si="2"/>
        <v>56.64</v>
      </c>
    </row>
    <row r="12" spans="1:19" x14ac:dyDescent="0.2">
      <c r="A12" s="85">
        <v>123550</v>
      </c>
      <c r="B12" s="85" t="s">
        <v>6037</v>
      </c>
      <c r="C12" s="76">
        <v>4</v>
      </c>
      <c r="D12" s="86" t="s">
        <v>5963</v>
      </c>
      <c r="E12" s="85" t="s">
        <v>19</v>
      </c>
      <c r="F12" s="87">
        <v>42372</v>
      </c>
      <c r="G12" s="83">
        <f>577.47+72.38</f>
        <v>649.85</v>
      </c>
      <c r="K12" s="133"/>
      <c r="L12" s="63"/>
      <c r="M12" s="63"/>
      <c r="N12" s="63"/>
      <c r="O12" s="63"/>
      <c r="P12" s="63"/>
      <c r="Q12" s="63">
        <f t="shared" si="0"/>
        <v>649.85</v>
      </c>
      <c r="R12" s="63">
        <f t="shared" si="1"/>
        <v>0</v>
      </c>
      <c r="S12" s="63">
        <f t="shared" si="2"/>
        <v>649.85</v>
      </c>
    </row>
    <row r="13" spans="1:19" x14ac:dyDescent="0.2">
      <c r="A13" s="85">
        <v>123550</v>
      </c>
      <c r="B13" s="85" t="s">
        <v>6037</v>
      </c>
      <c r="C13" s="76">
        <v>4</v>
      </c>
      <c r="D13" s="86" t="s">
        <v>5964</v>
      </c>
      <c r="E13" s="85" t="s">
        <v>19</v>
      </c>
      <c r="F13" s="87">
        <v>42372</v>
      </c>
      <c r="G13" s="83">
        <f>56.34+72.38</f>
        <v>128.72</v>
      </c>
      <c r="K13" s="133"/>
      <c r="L13" s="63"/>
      <c r="M13" s="63"/>
      <c r="N13" s="63"/>
      <c r="O13" s="63"/>
      <c r="P13" s="63"/>
      <c r="Q13" s="63">
        <f t="shared" si="0"/>
        <v>128.72</v>
      </c>
      <c r="R13" s="63">
        <f t="shared" si="1"/>
        <v>0</v>
      </c>
      <c r="S13" s="63">
        <f t="shared" si="2"/>
        <v>128.72</v>
      </c>
    </row>
    <row r="14" spans="1:19" x14ac:dyDescent="0.2">
      <c r="A14" s="85">
        <v>123550</v>
      </c>
      <c r="B14" s="85" t="s">
        <v>6037</v>
      </c>
      <c r="C14" s="76">
        <v>4</v>
      </c>
      <c r="D14" s="86" t="s">
        <v>5965</v>
      </c>
      <c r="E14" s="85" t="s">
        <v>19</v>
      </c>
      <c r="F14" s="87">
        <v>42372</v>
      </c>
      <c r="G14" s="83">
        <f>95.99+1897.68</f>
        <v>1993.67</v>
      </c>
      <c r="K14" s="133"/>
      <c r="L14" s="63"/>
      <c r="M14" s="63"/>
      <c r="N14" s="63"/>
      <c r="O14" s="63"/>
      <c r="P14" s="63"/>
      <c r="Q14" s="63">
        <f t="shared" si="0"/>
        <v>1993.67</v>
      </c>
      <c r="R14" s="63">
        <f t="shared" si="1"/>
        <v>0</v>
      </c>
      <c r="S14" s="63">
        <f t="shared" si="2"/>
        <v>1993.67</v>
      </c>
    </row>
    <row r="15" spans="1:19" x14ac:dyDescent="0.2">
      <c r="A15" s="85">
        <v>119046</v>
      </c>
      <c r="B15" s="85" t="s">
        <v>6038</v>
      </c>
      <c r="C15" s="76">
        <v>5</v>
      </c>
      <c r="D15" s="86" t="s">
        <v>5966</v>
      </c>
      <c r="E15" s="85" t="s">
        <v>19</v>
      </c>
      <c r="F15" s="87">
        <v>42373</v>
      </c>
      <c r="G15" s="83">
        <f>191.1</f>
        <v>191.1</v>
      </c>
      <c r="K15" s="133"/>
      <c r="L15" s="63"/>
      <c r="M15" s="63"/>
      <c r="N15" s="63"/>
      <c r="O15" s="63"/>
      <c r="P15" s="63"/>
      <c r="Q15" s="63">
        <f t="shared" si="0"/>
        <v>191.1</v>
      </c>
      <c r="R15" s="63">
        <f t="shared" si="1"/>
        <v>0</v>
      </c>
      <c r="S15" s="63">
        <f t="shared" si="2"/>
        <v>191.1</v>
      </c>
    </row>
    <row r="16" spans="1:19" x14ac:dyDescent="0.2">
      <c r="A16" s="85">
        <v>119046</v>
      </c>
      <c r="B16" s="85" t="s">
        <v>6038</v>
      </c>
      <c r="C16" s="76">
        <v>5</v>
      </c>
      <c r="D16" s="86" t="s">
        <v>5967</v>
      </c>
      <c r="E16" s="85" t="s">
        <v>19</v>
      </c>
      <c r="F16" s="87">
        <v>42373</v>
      </c>
      <c r="G16" s="83">
        <f>95.88</f>
        <v>95.88</v>
      </c>
      <c r="K16" s="133"/>
      <c r="L16" s="63"/>
      <c r="M16" s="63"/>
      <c r="N16" s="63"/>
      <c r="O16" s="63"/>
      <c r="P16" s="63"/>
      <c r="Q16" s="63">
        <f>+G16+I16+K16+M16+O16</f>
        <v>95.88</v>
      </c>
      <c r="R16" s="63">
        <f>+H16+J16+L16+N16+P16</f>
        <v>0</v>
      </c>
      <c r="S16" s="63">
        <f>+Q16+R16</f>
        <v>95.88</v>
      </c>
    </row>
    <row r="17" spans="1:19" x14ac:dyDescent="0.2">
      <c r="A17" s="85">
        <v>119046</v>
      </c>
      <c r="B17" s="85" t="s">
        <v>6038</v>
      </c>
      <c r="C17" s="76">
        <v>5</v>
      </c>
      <c r="D17" s="86" t="s">
        <v>5968</v>
      </c>
      <c r="E17" s="85" t="s">
        <v>19</v>
      </c>
      <c r="F17" s="87">
        <v>42373</v>
      </c>
      <c r="G17" s="83">
        <f>47.2</f>
        <v>47.2</v>
      </c>
      <c r="K17" s="133"/>
      <c r="L17" s="63"/>
      <c r="M17" s="63"/>
      <c r="N17" s="63"/>
      <c r="O17" s="63"/>
      <c r="P17" s="63"/>
      <c r="Q17" s="63">
        <f t="shared" ref="Q17:Q30" si="3">+G17+I17+K17+M17+O17</f>
        <v>47.2</v>
      </c>
      <c r="R17" s="63">
        <f t="shared" ref="R17:R30" si="4">+H17+J17+L17+N17+P17</f>
        <v>0</v>
      </c>
      <c r="S17" s="63">
        <f t="shared" ref="S17:S30" si="5">+Q17+R17</f>
        <v>47.2</v>
      </c>
    </row>
    <row r="18" spans="1:19" x14ac:dyDescent="0.2">
      <c r="A18" s="85">
        <v>114334</v>
      </c>
      <c r="B18" s="85" t="s">
        <v>6039</v>
      </c>
      <c r="C18" s="76">
        <v>6</v>
      </c>
      <c r="D18" s="86" t="s">
        <v>5969</v>
      </c>
      <c r="E18" s="85" t="s">
        <v>19</v>
      </c>
      <c r="F18" s="87">
        <v>42375</v>
      </c>
      <c r="G18" s="83">
        <f>241.98+66.61</f>
        <v>308.58999999999997</v>
      </c>
      <c r="K18" s="133"/>
      <c r="L18" s="63"/>
      <c r="M18" s="63"/>
      <c r="N18" s="63"/>
      <c r="O18" s="63"/>
      <c r="P18" s="63"/>
      <c r="Q18" s="63">
        <f t="shared" si="3"/>
        <v>308.58999999999997</v>
      </c>
      <c r="R18" s="63">
        <f t="shared" si="4"/>
        <v>0</v>
      </c>
      <c r="S18" s="63">
        <f t="shared" si="5"/>
        <v>308.58999999999997</v>
      </c>
    </row>
    <row r="19" spans="1:19" x14ac:dyDescent="0.2">
      <c r="A19" s="85">
        <v>114334</v>
      </c>
      <c r="B19" s="85" t="s">
        <v>6039</v>
      </c>
      <c r="C19" s="76">
        <v>6</v>
      </c>
      <c r="D19" s="86" t="s">
        <v>5970</v>
      </c>
      <c r="E19" s="85" t="s">
        <v>19</v>
      </c>
      <c r="F19" s="87">
        <v>42375</v>
      </c>
      <c r="G19" s="83">
        <f>41.3+490.97+80.33</f>
        <v>612.6</v>
      </c>
      <c r="K19" s="133"/>
      <c r="L19" s="63"/>
      <c r="M19" s="63"/>
      <c r="N19" s="63"/>
      <c r="O19" s="63"/>
      <c r="P19" s="63"/>
      <c r="Q19" s="63">
        <f t="shared" si="3"/>
        <v>612.6</v>
      </c>
      <c r="R19" s="63">
        <f t="shared" si="4"/>
        <v>0</v>
      </c>
      <c r="S19" s="63">
        <f t="shared" si="5"/>
        <v>612.6</v>
      </c>
    </row>
    <row r="20" spans="1:19" x14ac:dyDescent="0.2">
      <c r="A20" s="85">
        <v>101364</v>
      </c>
      <c r="B20" s="85" t="s">
        <v>6040</v>
      </c>
      <c r="C20" s="76">
        <v>7</v>
      </c>
      <c r="D20" s="86" t="s">
        <v>5971</v>
      </c>
      <c r="E20" s="68" t="s">
        <v>4064</v>
      </c>
      <c r="F20" s="87">
        <v>42374</v>
      </c>
      <c r="G20" s="83">
        <v>121</v>
      </c>
      <c r="K20" s="133"/>
      <c r="L20" s="63"/>
      <c r="M20" s="63"/>
      <c r="N20" s="63"/>
      <c r="O20" s="63"/>
      <c r="P20" s="63"/>
      <c r="Q20" s="63">
        <f t="shared" si="3"/>
        <v>121</v>
      </c>
      <c r="R20" s="63">
        <f t="shared" si="4"/>
        <v>0</v>
      </c>
      <c r="S20" s="63">
        <f t="shared" si="5"/>
        <v>121</v>
      </c>
    </row>
    <row r="21" spans="1:19" x14ac:dyDescent="0.2">
      <c r="A21" s="85">
        <v>110620</v>
      </c>
      <c r="B21" s="85" t="s">
        <v>6041</v>
      </c>
      <c r="C21" s="76">
        <v>8</v>
      </c>
      <c r="D21" s="86" t="s">
        <v>5972</v>
      </c>
      <c r="E21" s="68" t="s">
        <v>4064</v>
      </c>
      <c r="F21" s="87">
        <v>42374</v>
      </c>
      <c r="G21" s="83">
        <v>219.5</v>
      </c>
      <c r="K21" s="133"/>
      <c r="L21" s="63"/>
      <c r="M21" s="63"/>
      <c r="N21" s="63"/>
      <c r="O21" s="63"/>
      <c r="P21" s="63"/>
      <c r="Q21" s="63">
        <f t="shared" si="3"/>
        <v>219.5</v>
      </c>
      <c r="R21" s="63">
        <f t="shared" si="4"/>
        <v>0</v>
      </c>
      <c r="S21" s="63">
        <f t="shared" si="5"/>
        <v>219.5</v>
      </c>
    </row>
    <row r="22" spans="1:19" x14ac:dyDescent="0.2">
      <c r="A22" s="85">
        <v>100131</v>
      </c>
      <c r="B22" s="85" t="s">
        <v>6042</v>
      </c>
      <c r="C22" s="76">
        <v>9</v>
      </c>
      <c r="D22" s="86" t="s">
        <v>5973</v>
      </c>
      <c r="E22" s="68" t="s">
        <v>4064</v>
      </c>
      <c r="F22" s="87">
        <v>42374</v>
      </c>
      <c r="G22" s="83">
        <v>59</v>
      </c>
      <c r="K22" s="133"/>
      <c r="L22" s="63"/>
      <c r="M22" s="63"/>
      <c r="N22" s="63"/>
      <c r="O22" s="63"/>
      <c r="P22" s="63"/>
      <c r="Q22" s="63">
        <f t="shared" si="3"/>
        <v>59</v>
      </c>
      <c r="R22" s="63">
        <f t="shared" si="4"/>
        <v>0</v>
      </c>
      <c r="S22" s="63">
        <f t="shared" si="5"/>
        <v>59</v>
      </c>
    </row>
    <row r="23" spans="1:19" x14ac:dyDescent="0.2">
      <c r="A23" s="85">
        <v>128342</v>
      </c>
      <c r="B23" s="85" t="s">
        <v>6043</v>
      </c>
      <c r="C23" s="76">
        <v>10</v>
      </c>
      <c r="D23" s="86" t="s">
        <v>5974</v>
      </c>
      <c r="E23" s="85" t="s">
        <v>19</v>
      </c>
      <c r="F23" s="87">
        <v>42377</v>
      </c>
      <c r="G23" s="83">
        <f>118.6</f>
        <v>118.6</v>
      </c>
      <c r="K23" s="133"/>
      <c r="L23" s="63"/>
      <c r="M23" s="63"/>
      <c r="N23" s="63"/>
      <c r="O23" s="63"/>
      <c r="P23" s="63"/>
      <c r="Q23" s="63">
        <f t="shared" si="3"/>
        <v>118.6</v>
      </c>
      <c r="R23" s="63">
        <f t="shared" si="4"/>
        <v>0</v>
      </c>
      <c r="S23" s="63">
        <f t="shared" si="5"/>
        <v>118.6</v>
      </c>
    </row>
    <row r="24" spans="1:19" x14ac:dyDescent="0.2">
      <c r="A24" s="85">
        <v>128342</v>
      </c>
      <c r="B24" s="85" t="s">
        <v>6043</v>
      </c>
      <c r="C24" s="76">
        <v>10</v>
      </c>
      <c r="D24" s="86" t="s">
        <v>5975</v>
      </c>
      <c r="E24" s="85" t="s">
        <v>19</v>
      </c>
      <c r="F24" s="87">
        <v>42377</v>
      </c>
      <c r="G24" s="83">
        <f>40.6+35</f>
        <v>75.599999999999994</v>
      </c>
      <c r="K24" s="133"/>
      <c r="L24" s="63"/>
      <c r="M24" s="63"/>
      <c r="N24" s="63"/>
      <c r="O24" s="63"/>
      <c r="P24" s="63"/>
      <c r="Q24" s="63">
        <f t="shared" si="3"/>
        <v>75.599999999999994</v>
      </c>
      <c r="R24" s="63">
        <f t="shared" si="4"/>
        <v>0</v>
      </c>
      <c r="S24" s="63">
        <f t="shared" si="5"/>
        <v>75.599999999999994</v>
      </c>
    </row>
    <row r="25" spans="1:19" x14ac:dyDescent="0.2">
      <c r="A25" s="85">
        <v>117846</v>
      </c>
      <c r="B25" s="85" t="s">
        <v>6044</v>
      </c>
      <c r="C25" s="76">
        <v>11</v>
      </c>
      <c r="D25" s="86" t="s">
        <v>5976</v>
      </c>
      <c r="E25" s="85" t="s">
        <v>19</v>
      </c>
      <c r="F25" s="87">
        <v>42378</v>
      </c>
      <c r="G25" s="83">
        <f>545.2+183.75+178.34+178.34+41.3+177.3+154.8+171.81+41.3+96.86+139.01+41.3+41.3+139.01+261.3+41.3</f>
        <v>2432.2200000000003</v>
      </c>
      <c r="I25" s="63">
        <v>2250</v>
      </c>
      <c r="K25" s="133"/>
      <c r="L25" s="63"/>
      <c r="M25" s="63"/>
      <c r="N25" s="63"/>
      <c r="O25" s="63"/>
      <c r="P25" s="63"/>
      <c r="Q25" s="63">
        <f t="shared" si="3"/>
        <v>4682.22</v>
      </c>
      <c r="R25" s="63">
        <f t="shared" si="4"/>
        <v>0</v>
      </c>
      <c r="S25" s="63">
        <f t="shared" si="5"/>
        <v>4682.22</v>
      </c>
    </row>
    <row r="26" spans="1:19" x14ac:dyDescent="0.2">
      <c r="A26" s="85">
        <v>115572</v>
      </c>
      <c r="B26" s="85" t="s">
        <v>6045</v>
      </c>
      <c r="C26" s="76">
        <v>12</v>
      </c>
      <c r="D26" s="86" t="s">
        <v>5977</v>
      </c>
      <c r="E26" s="85" t="s">
        <v>19</v>
      </c>
      <c r="F26" s="87">
        <v>42379</v>
      </c>
      <c r="G26" s="83">
        <f>128</f>
        <v>128</v>
      </c>
      <c r="K26" s="133"/>
      <c r="L26" s="63"/>
      <c r="M26" s="63"/>
      <c r="N26" s="63"/>
      <c r="O26" s="63"/>
      <c r="P26" s="63"/>
      <c r="Q26" s="63">
        <f t="shared" si="3"/>
        <v>128</v>
      </c>
      <c r="R26" s="63">
        <f t="shared" si="4"/>
        <v>0</v>
      </c>
      <c r="S26" s="63">
        <f t="shared" si="5"/>
        <v>128</v>
      </c>
    </row>
    <row r="27" spans="1:19" x14ac:dyDescent="0.2">
      <c r="A27" s="85">
        <v>125369</v>
      </c>
      <c r="B27" s="85" t="s">
        <v>6046</v>
      </c>
      <c r="C27" s="76">
        <v>13</v>
      </c>
      <c r="D27" s="86" t="s">
        <v>5978</v>
      </c>
      <c r="E27" s="85" t="s">
        <v>19</v>
      </c>
      <c r="F27" s="87">
        <v>42379</v>
      </c>
      <c r="G27" s="83">
        <f>198.6+47.38+35+140</f>
        <v>420.98</v>
      </c>
      <c r="K27" s="133"/>
      <c r="L27" s="63"/>
      <c r="M27" s="63"/>
      <c r="N27" s="63"/>
      <c r="O27" s="63"/>
      <c r="P27" s="63"/>
      <c r="Q27" s="63">
        <f t="shared" si="3"/>
        <v>420.98</v>
      </c>
      <c r="R27" s="63">
        <f t="shared" si="4"/>
        <v>0</v>
      </c>
      <c r="S27" s="63">
        <f t="shared" si="5"/>
        <v>420.98</v>
      </c>
    </row>
    <row r="28" spans="1:19" x14ac:dyDescent="0.2">
      <c r="A28" s="85">
        <v>113393</v>
      </c>
      <c r="B28" s="85" t="s">
        <v>6047</v>
      </c>
      <c r="C28" s="76">
        <v>14</v>
      </c>
      <c r="D28" s="86" t="s">
        <v>5979</v>
      </c>
      <c r="E28" s="85" t="s">
        <v>19</v>
      </c>
      <c r="F28" s="87">
        <v>42382</v>
      </c>
      <c r="G28" s="83">
        <f>224.44</f>
        <v>224.44</v>
      </c>
      <c r="K28" s="133"/>
      <c r="L28" s="63"/>
      <c r="M28" s="63"/>
      <c r="N28" s="63"/>
      <c r="O28" s="63"/>
      <c r="P28" s="63"/>
      <c r="Q28" s="63">
        <f t="shared" si="3"/>
        <v>224.44</v>
      </c>
      <c r="R28" s="63">
        <f t="shared" si="4"/>
        <v>0</v>
      </c>
      <c r="S28" s="63">
        <f t="shared" si="5"/>
        <v>224.44</v>
      </c>
    </row>
    <row r="29" spans="1:19" x14ac:dyDescent="0.2">
      <c r="A29" s="85">
        <v>124775</v>
      </c>
      <c r="B29" s="85" t="s">
        <v>6048</v>
      </c>
      <c r="C29" s="76">
        <v>15</v>
      </c>
      <c r="D29" s="86" t="s">
        <v>5980</v>
      </c>
      <c r="E29" s="85" t="s">
        <v>19</v>
      </c>
      <c r="F29" s="87">
        <v>42380</v>
      </c>
      <c r="G29" s="83">
        <f>82.79</f>
        <v>82.79</v>
      </c>
      <c r="K29" s="133"/>
      <c r="L29" s="63"/>
      <c r="M29" s="63"/>
      <c r="N29" s="63"/>
      <c r="O29" s="63"/>
      <c r="P29" s="63"/>
      <c r="Q29" s="63">
        <f t="shared" si="3"/>
        <v>82.79</v>
      </c>
      <c r="R29" s="63">
        <f t="shared" si="4"/>
        <v>0</v>
      </c>
      <c r="S29" s="63">
        <f t="shared" si="5"/>
        <v>82.79</v>
      </c>
    </row>
    <row r="30" spans="1:19" x14ac:dyDescent="0.2">
      <c r="A30" s="85"/>
      <c r="B30" s="85"/>
      <c r="C30" s="76">
        <v>16</v>
      </c>
      <c r="D30" s="86"/>
      <c r="E30" s="85"/>
      <c r="G30" s="83"/>
      <c r="K30" s="133"/>
      <c r="L30" s="63"/>
      <c r="M30" s="63"/>
      <c r="N30" s="63"/>
      <c r="O30" s="63"/>
      <c r="P30" s="63"/>
      <c r="Q30" s="63">
        <f t="shared" si="3"/>
        <v>0</v>
      </c>
      <c r="R30" s="63">
        <f t="shared" si="4"/>
        <v>0</v>
      </c>
      <c r="S30" s="63">
        <f t="shared" si="5"/>
        <v>0</v>
      </c>
    </row>
    <row r="31" spans="1:19" x14ac:dyDescent="0.2">
      <c r="A31" s="85">
        <v>116325</v>
      </c>
      <c r="B31" s="85" t="s">
        <v>6049</v>
      </c>
      <c r="C31" s="76">
        <v>17</v>
      </c>
      <c r="D31" s="86" t="s">
        <v>5981</v>
      </c>
      <c r="E31" s="85" t="s">
        <v>19</v>
      </c>
      <c r="F31" s="87">
        <v>42383</v>
      </c>
      <c r="G31" s="83">
        <f>94.8</f>
        <v>94.8</v>
      </c>
      <c r="K31" s="133"/>
      <c r="L31" s="63"/>
      <c r="M31" s="63"/>
      <c r="N31" s="63"/>
      <c r="O31" s="63"/>
      <c r="P31" s="63"/>
      <c r="Q31" s="63">
        <f t="shared" ref="Q31:Q94" si="6">+G31+I31+K31+M31+O31</f>
        <v>94.8</v>
      </c>
      <c r="R31" s="63">
        <f t="shared" ref="R31:R94" si="7">+H31+J31+L31+N31+P31</f>
        <v>0</v>
      </c>
      <c r="S31" s="63">
        <f t="shared" ref="S31:S94" si="8">+Q31+R31</f>
        <v>94.8</v>
      </c>
    </row>
    <row r="32" spans="1:19" x14ac:dyDescent="0.2">
      <c r="A32" s="85">
        <v>106262</v>
      </c>
      <c r="B32" s="85" t="s">
        <v>3542</v>
      </c>
      <c r="C32" s="76">
        <v>18</v>
      </c>
      <c r="D32" s="86" t="s">
        <v>5982</v>
      </c>
      <c r="E32" s="85" t="s">
        <v>19</v>
      </c>
      <c r="F32" s="87">
        <v>42384</v>
      </c>
      <c r="G32" s="83">
        <f>40</f>
        <v>40</v>
      </c>
      <c r="K32" s="133"/>
      <c r="L32" s="63"/>
      <c r="M32" s="63"/>
      <c r="N32" s="63"/>
      <c r="O32" s="63"/>
      <c r="P32" s="63"/>
      <c r="Q32" s="63">
        <f t="shared" si="6"/>
        <v>40</v>
      </c>
      <c r="R32" s="63">
        <f t="shared" si="7"/>
        <v>0</v>
      </c>
      <c r="S32" s="63">
        <f t="shared" si="8"/>
        <v>40</v>
      </c>
    </row>
    <row r="33" spans="1:19" x14ac:dyDescent="0.2">
      <c r="A33" s="85">
        <v>106262</v>
      </c>
      <c r="B33" s="85" t="s">
        <v>3542</v>
      </c>
      <c r="C33" s="76">
        <v>18</v>
      </c>
      <c r="D33" s="86" t="s">
        <v>5983</v>
      </c>
      <c r="E33" s="85" t="s">
        <v>19</v>
      </c>
      <c r="F33" s="87">
        <v>42384</v>
      </c>
      <c r="G33" s="83">
        <f>120</f>
        <v>120</v>
      </c>
      <c r="K33" s="133"/>
      <c r="L33" s="63"/>
      <c r="M33" s="63"/>
      <c r="N33" s="63"/>
      <c r="O33" s="63"/>
      <c r="P33" s="63"/>
      <c r="Q33" s="63">
        <f t="shared" si="6"/>
        <v>120</v>
      </c>
      <c r="R33" s="63">
        <f t="shared" si="7"/>
        <v>0</v>
      </c>
      <c r="S33" s="63">
        <f t="shared" si="8"/>
        <v>120</v>
      </c>
    </row>
    <row r="34" spans="1:19" x14ac:dyDescent="0.2">
      <c r="A34" s="85">
        <v>106262</v>
      </c>
      <c r="B34" s="85" t="s">
        <v>3542</v>
      </c>
      <c r="C34" s="76">
        <v>18</v>
      </c>
      <c r="D34" s="86" t="s">
        <v>5984</v>
      </c>
      <c r="E34" s="85" t="s">
        <v>19</v>
      </c>
      <c r="F34" s="87">
        <v>42384</v>
      </c>
      <c r="G34" s="83">
        <f>115</f>
        <v>115</v>
      </c>
      <c r="K34" s="133"/>
      <c r="L34" s="63"/>
      <c r="M34" s="63"/>
      <c r="N34" s="63"/>
      <c r="O34" s="63"/>
      <c r="P34" s="63"/>
      <c r="Q34" s="63">
        <f t="shared" si="6"/>
        <v>115</v>
      </c>
      <c r="R34" s="63">
        <f t="shared" si="7"/>
        <v>0</v>
      </c>
      <c r="S34" s="63">
        <f t="shared" si="8"/>
        <v>115</v>
      </c>
    </row>
    <row r="35" spans="1:19" x14ac:dyDescent="0.2">
      <c r="A35" s="85">
        <v>124291</v>
      </c>
      <c r="B35" s="85" t="s">
        <v>6050</v>
      </c>
      <c r="C35" s="76">
        <v>19</v>
      </c>
      <c r="D35" s="86" t="s">
        <v>5985</v>
      </c>
      <c r="E35" s="85" t="s">
        <v>19</v>
      </c>
      <c r="F35" s="87">
        <v>42384</v>
      </c>
      <c r="G35" s="83">
        <f>48</f>
        <v>48</v>
      </c>
      <c r="K35" s="133"/>
      <c r="L35" s="63"/>
      <c r="M35" s="63"/>
      <c r="N35" s="63"/>
      <c r="O35" s="63"/>
      <c r="P35" s="63"/>
      <c r="Q35" s="63">
        <f t="shared" si="6"/>
        <v>48</v>
      </c>
      <c r="R35" s="63">
        <f t="shared" si="7"/>
        <v>0</v>
      </c>
      <c r="S35" s="63">
        <f t="shared" si="8"/>
        <v>48</v>
      </c>
    </row>
    <row r="36" spans="1:19" x14ac:dyDescent="0.2">
      <c r="A36" s="85">
        <v>121914</v>
      </c>
      <c r="B36" s="85" t="s">
        <v>6051</v>
      </c>
      <c r="C36" s="76">
        <v>20</v>
      </c>
      <c r="D36" s="86" t="s">
        <v>5986</v>
      </c>
      <c r="E36" s="85" t="s">
        <v>19</v>
      </c>
      <c r="F36" s="87">
        <v>42385</v>
      </c>
      <c r="G36" s="83"/>
      <c r="K36" s="133"/>
      <c r="L36" s="63"/>
      <c r="M36" s="63"/>
      <c r="N36" s="63"/>
      <c r="O36" s="63"/>
      <c r="P36" s="63"/>
      <c r="Q36" s="63">
        <f t="shared" si="6"/>
        <v>0</v>
      </c>
      <c r="R36" s="63">
        <f t="shared" si="7"/>
        <v>0</v>
      </c>
      <c r="S36" s="63">
        <f t="shared" si="8"/>
        <v>0</v>
      </c>
    </row>
    <row r="37" spans="1:19" x14ac:dyDescent="0.2">
      <c r="A37" s="85">
        <v>121914</v>
      </c>
      <c r="B37" s="85" t="s">
        <v>6051</v>
      </c>
      <c r="C37" s="76">
        <v>20</v>
      </c>
      <c r="D37" s="86" t="s">
        <v>5987</v>
      </c>
      <c r="E37" s="85" t="s">
        <v>19</v>
      </c>
      <c r="F37" s="87">
        <v>42385</v>
      </c>
      <c r="G37" s="83"/>
      <c r="K37" s="133"/>
      <c r="L37" s="63"/>
      <c r="M37" s="63"/>
      <c r="N37" s="63"/>
      <c r="O37" s="63"/>
      <c r="P37" s="63"/>
      <c r="Q37" s="63">
        <f t="shared" si="6"/>
        <v>0</v>
      </c>
      <c r="R37" s="63">
        <f t="shared" si="7"/>
        <v>0</v>
      </c>
      <c r="S37" s="63">
        <f t="shared" si="8"/>
        <v>0</v>
      </c>
    </row>
    <row r="38" spans="1:19" x14ac:dyDescent="0.2">
      <c r="A38" s="85">
        <v>126741</v>
      </c>
      <c r="B38" s="85" t="s">
        <v>6052</v>
      </c>
      <c r="C38" s="76">
        <v>21</v>
      </c>
      <c r="D38" s="86" t="s">
        <v>5988</v>
      </c>
      <c r="E38" s="85" t="s">
        <v>19</v>
      </c>
      <c r="F38" s="87">
        <v>42387</v>
      </c>
      <c r="G38" s="83">
        <f>110</f>
        <v>110</v>
      </c>
      <c r="K38" s="133"/>
      <c r="L38" s="63"/>
      <c r="M38" s="63"/>
      <c r="N38" s="63"/>
      <c r="O38" s="63"/>
      <c r="P38" s="63"/>
      <c r="Q38" s="63">
        <f t="shared" si="6"/>
        <v>110</v>
      </c>
      <c r="R38" s="63">
        <f t="shared" si="7"/>
        <v>0</v>
      </c>
      <c r="S38" s="63">
        <f t="shared" si="8"/>
        <v>110</v>
      </c>
    </row>
    <row r="39" spans="1:19" x14ac:dyDescent="0.2">
      <c r="A39" s="85">
        <v>128181</v>
      </c>
      <c r="B39" s="85" t="s">
        <v>6053</v>
      </c>
      <c r="C39" s="76">
        <v>22</v>
      </c>
      <c r="D39" s="86" t="s">
        <v>5989</v>
      </c>
      <c r="E39" s="85" t="s">
        <v>19</v>
      </c>
      <c r="F39" s="87">
        <v>42387</v>
      </c>
      <c r="G39" s="83">
        <f>50.7</f>
        <v>50.7</v>
      </c>
      <c r="K39" s="133"/>
      <c r="L39" s="63"/>
      <c r="M39" s="63"/>
      <c r="N39" s="63"/>
      <c r="O39" s="63"/>
      <c r="P39" s="63"/>
      <c r="Q39" s="63">
        <f t="shared" si="6"/>
        <v>50.7</v>
      </c>
      <c r="R39" s="63">
        <f t="shared" si="7"/>
        <v>0</v>
      </c>
      <c r="S39" s="63">
        <f t="shared" si="8"/>
        <v>50.7</v>
      </c>
    </row>
    <row r="40" spans="1:19" x14ac:dyDescent="0.2">
      <c r="A40" s="85">
        <v>128181</v>
      </c>
      <c r="B40" s="85" t="s">
        <v>6053</v>
      </c>
      <c r="C40" s="76">
        <v>22</v>
      </c>
      <c r="D40" s="86" t="s">
        <v>5990</v>
      </c>
      <c r="E40" s="85" t="s">
        <v>19</v>
      </c>
      <c r="F40" s="87">
        <v>42387</v>
      </c>
      <c r="G40" s="83">
        <f>40</f>
        <v>40</v>
      </c>
      <c r="K40" s="133"/>
      <c r="L40" s="63"/>
      <c r="M40" s="63"/>
      <c r="N40" s="63"/>
      <c r="O40" s="63"/>
      <c r="P40" s="63"/>
      <c r="Q40" s="63">
        <f t="shared" si="6"/>
        <v>40</v>
      </c>
      <c r="R40" s="63">
        <f t="shared" si="7"/>
        <v>0</v>
      </c>
      <c r="S40" s="63">
        <f t="shared" si="8"/>
        <v>40</v>
      </c>
    </row>
    <row r="41" spans="1:19" x14ac:dyDescent="0.2">
      <c r="A41" s="85">
        <v>126275</v>
      </c>
      <c r="B41" s="85" t="s">
        <v>6054</v>
      </c>
      <c r="C41" s="76">
        <v>23</v>
      </c>
      <c r="D41" s="86" t="s">
        <v>5991</v>
      </c>
      <c r="E41" s="85" t="s">
        <v>19</v>
      </c>
      <c r="F41" s="87">
        <v>42387</v>
      </c>
      <c r="G41" s="83">
        <f>160.5+35</f>
        <v>195.5</v>
      </c>
      <c r="K41" s="133"/>
      <c r="L41" s="63"/>
      <c r="M41" s="63"/>
      <c r="N41" s="63"/>
      <c r="O41" s="63"/>
      <c r="P41" s="63"/>
      <c r="Q41" s="63">
        <f t="shared" si="6"/>
        <v>195.5</v>
      </c>
      <c r="R41" s="63">
        <f t="shared" si="7"/>
        <v>0</v>
      </c>
      <c r="S41" s="63">
        <f t="shared" si="8"/>
        <v>195.5</v>
      </c>
    </row>
    <row r="42" spans="1:19" x14ac:dyDescent="0.2">
      <c r="A42" s="85">
        <v>123266</v>
      </c>
      <c r="B42" s="85" t="s">
        <v>6055</v>
      </c>
      <c r="C42" s="76">
        <v>24</v>
      </c>
      <c r="D42" s="86" t="s">
        <v>5992</v>
      </c>
      <c r="E42" s="85" t="s">
        <v>19</v>
      </c>
      <c r="F42" s="87">
        <v>42388</v>
      </c>
      <c r="G42" s="83">
        <f>15805.45+630.24+100+2088.8+240</f>
        <v>18864.490000000002</v>
      </c>
      <c r="I42" s="63">
        <v>3750</v>
      </c>
      <c r="K42" s="133"/>
      <c r="L42" s="63"/>
      <c r="M42" s="63"/>
      <c r="N42" s="63"/>
      <c r="O42" s="63"/>
      <c r="P42" s="63"/>
      <c r="Q42" s="63">
        <f t="shared" si="6"/>
        <v>22614.49</v>
      </c>
      <c r="R42" s="63">
        <f t="shared" si="7"/>
        <v>0</v>
      </c>
      <c r="S42" s="63">
        <f t="shared" si="8"/>
        <v>22614.49</v>
      </c>
    </row>
    <row r="43" spans="1:19" x14ac:dyDescent="0.2">
      <c r="A43" s="85">
        <v>119910</v>
      </c>
      <c r="B43" s="85" t="s">
        <v>6056</v>
      </c>
      <c r="C43" s="76">
        <v>25</v>
      </c>
      <c r="D43" s="86" t="s">
        <v>5993</v>
      </c>
      <c r="E43" s="85" t="s">
        <v>19</v>
      </c>
      <c r="F43" s="87">
        <v>42388</v>
      </c>
      <c r="G43" s="83">
        <f>197.48+1444.51+86.06+53.1+232.61+76.7+436.6+64.9</f>
        <v>2591.9599999999996</v>
      </c>
      <c r="I43" s="63">
        <f>1362.5*2</f>
        <v>2725</v>
      </c>
      <c r="K43" s="133"/>
      <c r="L43" s="63"/>
      <c r="M43" s="63"/>
      <c r="N43" s="63"/>
      <c r="O43" s="63"/>
      <c r="P43" s="63"/>
      <c r="Q43" s="63">
        <f t="shared" si="6"/>
        <v>5316.9599999999991</v>
      </c>
      <c r="R43" s="63">
        <f t="shared" si="7"/>
        <v>0</v>
      </c>
      <c r="S43" s="63">
        <f t="shared" si="8"/>
        <v>5316.9599999999991</v>
      </c>
    </row>
    <row r="44" spans="1:19" x14ac:dyDescent="0.2">
      <c r="A44" s="85">
        <v>116644</v>
      </c>
      <c r="B44" s="85" t="s">
        <v>6057</v>
      </c>
      <c r="C44" s="76">
        <v>26</v>
      </c>
      <c r="D44" s="86" t="s">
        <v>5994</v>
      </c>
      <c r="E44" s="85" t="s">
        <v>19</v>
      </c>
      <c r="F44" s="87">
        <v>42389</v>
      </c>
      <c r="G44" s="83">
        <f>3821.8+2915+1108+379.59</f>
        <v>8224.39</v>
      </c>
      <c r="K44" s="133"/>
      <c r="L44" s="63"/>
      <c r="M44" s="63"/>
      <c r="N44" s="63"/>
      <c r="O44" s="63"/>
      <c r="P44" s="63"/>
      <c r="Q44" s="63">
        <f t="shared" si="6"/>
        <v>8224.39</v>
      </c>
      <c r="R44" s="63">
        <f t="shared" si="7"/>
        <v>0</v>
      </c>
      <c r="S44" s="63">
        <f t="shared" si="8"/>
        <v>8224.39</v>
      </c>
    </row>
    <row r="45" spans="1:19" x14ac:dyDescent="0.2">
      <c r="A45" s="85">
        <v>124561</v>
      </c>
      <c r="B45" s="85" t="s">
        <v>6058</v>
      </c>
      <c r="C45" s="76">
        <v>27</v>
      </c>
      <c r="D45" s="86" t="s">
        <v>5995</v>
      </c>
      <c r="E45" s="85" t="s">
        <v>19</v>
      </c>
      <c r="F45" s="87">
        <v>42389</v>
      </c>
      <c r="G45" s="83">
        <f>48</f>
        <v>48</v>
      </c>
      <c r="K45" s="133"/>
      <c r="L45" s="63"/>
      <c r="M45" s="63"/>
      <c r="N45" s="63"/>
      <c r="O45" s="63"/>
      <c r="P45" s="63"/>
      <c r="Q45" s="63">
        <f t="shared" si="6"/>
        <v>48</v>
      </c>
      <c r="R45" s="63">
        <f t="shared" si="7"/>
        <v>0</v>
      </c>
      <c r="S45" s="63">
        <f t="shared" si="8"/>
        <v>48</v>
      </c>
    </row>
    <row r="46" spans="1:19" x14ac:dyDescent="0.2">
      <c r="A46" s="85">
        <v>114823</v>
      </c>
      <c r="B46" s="85" t="s">
        <v>6059</v>
      </c>
      <c r="C46" s="76">
        <v>28</v>
      </c>
      <c r="D46" s="86" t="s">
        <v>5996</v>
      </c>
      <c r="E46" s="85" t="s">
        <v>19</v>
      </c>
      <c r="F46" s="87">
        <v>42389</v>
      </c>
      <c r="G46" s="83">
        <f>174.29</f>
        <v>174.29</v>
      </c>
      <c r="K46" s="133"/>
      <c r="L46" s="63"/>
      <c r="M46" s="63"/>
      <c r="N46" s="63"/>
      <c r="O46" s="63"/>
      <c r="P46" s="63"/>
      <c r="Q46" s="63">
        <f t="shared" si="6"/>
        <v>174.29</v>
      </c>
      <c r="R46" s="63">
        <f t="shared" si="7"/>
        <v>0</v>
      </c>
      <c r="S46" s="63">
        <f t="shared" si="8"/>
        <v>174.29</v>
      </c>
    </row>
    <row r="47" spans="1:19" x14ac:dyDescent="0.2">
      <c r="A47" s="85">
        <v>130375</v>
      </c>
      <c r="B47" s="85" t="s">
        <v>6060</v>
      </c>
      <c r="C47" s="76">
        <v>29</v>
      </c>
      <c r="D47" s="86" t="s">
        <v>5997</v>
      </c>
      <c r="E47" s="85" t="s">
        <v>19</v>
      </c>
      <c r="F47" s="87">
        <v>42394</v>
      </c>
      <c r="G47" s="83">
        <f>396.48</f>
        <v>396.48</v>
      </c>
      <c r="K47" s="133"/>
      <c r="L47" s="63"/>
      <c r="M47" s="63"/>
      <c r="N47" s="63"/>
      <c r="O47" s="63"/>
      <c r="P47" s="63"/>
      <c r="Q47" s="63">
        <f t="shared" si="6"/>
        <v>396.48</v>
      </c>
      <c r="R47" s="63">
        <f t="shared" si="7"/>
        <v>0</v>
      </c>
      <c r="S47" s="63">
        <f t="shared" si="8"/>
        <v>396.48</v>
      </c>
    </row>
    <row r="48" spans="1:19" x14ac:dyDescent="0.2">
      <c r="A48" s="85">
        <v>132151</v>
      </c>
      <c r="B48" s="85" t="s">
        <v>6061</v>
      </c>
      <c r="C48" s="76">
        <v>30</v>
      </c>
      <c r="D48" s="86" t="s">
        <v>5998</v>
      </c>
      <c r="E48" s="85" t="s">
        <v>19</v>
      </c>
      <c r="F48" s="87">
        <v>42394</v>
      </c>
      <c r="G48" s="83">
        <f>69.95+1730.02+41.3+1374.27+41.3+41.3</f>
        <v>3298.1400000000003</v>
      </c>
      <c r="K48" s="133"/>
      <c r="L48" s="63"/>
      <c r="M48" s="63"/>
      <c r="N48" s="63"/>
      <c r="O48" s="63"/>
      <c r="P48" s="63"/>
      <c r="Q48" s="63">
        <f t="shared" si="6"/>
        <v>3298.1400000000003</v>
      </c>
      <c r="R48" s="63">
        <f t="shared" si="7"/>
        <v>0</v>
      </c>
      <c r="S48" s="63">
        <f t="shared" si="8"/>
        <v>3298.1400000000003</v>
      </c>
    </row>
    <row r="49" spans="1:19" x14ac:dyDescent="0.2">
      <c r="A49" s="85">
        <v>119365</v>
      </c>
      <c r="B49" s="85" t="s">
        <v>6062</v>
      </c>
      <c r="C49" s="76">
        <v>31</v>
      </c>
      <c r="D49" s="86" t="s">
        <v>5999</v>
      </c>
      <c r="E49" s="68" t="s">
        <v>4064</v>
      </c>
      <c r="F49" s="87">
        <v>42395</v>
      </c>
      <c r="G49" s="83"/>
      <c r="K49" s="133"/>
      <c r="L49" s="63"/>
      <c r="M49" s="63">
        <v>3400</v>
      </c>
      <c r="N49" s="63"/>
      <c r="O49" s="63">
        <v>15800</v>
      </c>
      <c r="P49" s="63"/>
      <c r="Q49" s="63">
        <f t="shared" si="6"/>
        <v>19200</v>
      </c>
      <c r="R49" s="63">
        <f t="shared" si="7"/>
        <v>0</v>
      </c>
      <c r="S49" s="63">
        <f t="shared" si="8"/>
        <v>19200</v>
      </c>
    </row>
    <row r="50" spans="1:19" x14ac:dyDescent="0.2">
      <c r="A50" s="85">
        <v>119365</v>
      </c>
      <c r="B50" s="85" t="s">
        <v>6062</v>
      </c>
      <c r="C50" s="76">
        <v>31</v>
      </c>
      <c r="D50" s="86" t="s">
        <v>6114</v>
      </c>
      <c r="E50" s="68" t="s">
        <v>4064</v>
      </c>
      <c r="F50" s="87">
        <v>42395</v>
      </c>
      <c r="G50" s="83"/>
      <c r="K50" s="133"/>
      <c r="L50" s="63"/>
      <c r="M50" s="63">
        <v>3400</v>
      </c>
      <c r="N50" s="63"/>
      <c r="O50" s="63">
        <v>15800</v>
      </c>
      <c r="P50" s="63"/>
      <c r="Q50" s="63">
        <f t="shared" si="6"/>
        <v>19200</v>
      </c>
      <c r="R50" s="63">
        <f t="shared" si="7"/>
        <v>0</v>
      </c>
      <c r="S50" s="63">
        <f t="shared" si="8"/>
        <v>19200</v>
      </c>
    </row>
    <row r="51" spans="1:19" x14ac:dyDescent="0.2">
      <c r="A51" s="85">
        <v>119365</v>
      </c>
      <c r="B51" s="85" t="s">
        <v>6062</v>
      </c>
      <c r="C51" s="76">
        <v>31</v>
      </c>
      <c r="D51" s="86" t="s">
        <v>6000</v>
      </c>
      <c r="E51" s="68" t="s">
        <v>4064</v>
      </c>
      <c r="F51" s="87">
        <v>42395</v>
      </c>
      <c r="G51" s="83"/>
      <c r="K51" s="133"/>
      <c r="L51" s="63"/>
      <c r="M51" s="63">
        <v>3400</v>
      </c>
      <c r="N51" s="63"/>
      <c r="O51" s="63">
        <v>15800</v>
      </c>
      <c r="P51" s="63"/>
      <c r="Q51" s="63">
        <f t="shared" si="6"/>
        <v>19200</v>
      </c>
      <c r="R51" s="63">
        <f t="shared" si="7"/>
        <v>0</v>
      </c>
      <c r="S51" s="63">
        <f t="shared" si="8"/>
        <v>19200</v>
      </c>
    </row>
    <row r="52" spans="1:19" x14ac:dyDescent="0.2">
      <c r="A52" s="85">
        <v>119365</v>
      </c>
      <c r="B52" s="85" t="s">
        <v>6062</v>
      </c>
      <c r="C52" s="76">
        <v>31</v>
      </c>
      <c r="D52" s="86" t="s">
        <v>6001</v>
      </c>
      <c r="E52" s="68" t="s">
        <v>4064</v>
      </c>
      <c r="F52" s="87">
        <v>42395</v>
      </c>
      <c r="G52" s="83"/>
      <c r="K52" s="133"/>
      <c r="L52" s="63"/>
      <c r="M52" s="63">
        <v>3950</v>
      </c>
      <c r="N52" s="63"/>
      <c r="O52" s="63">
        <v>15800</v>
      </c>
      <c r="P52" s="63"/>
      <c r="Q52" s="63">
        <f t="shared" si="6"/>
        <v>19750</v>
      </c>
      <c r="R52" s="63">
        <f t="shared" si="7"/>
        <v>0</v>
      </c>
      <c r="S52" s="63">
        <f t="shared" si="8"/>
        <v>19750</v>
      </c>
    </row>
    <row r="53" spans="1:19" x14ac:dyDescent="0.2">
      <c r="A53" s="85">
        <v>119365</v>
      </c>
      <c r="B53" s="85" t="s">
        <v>6062</v>
      </c>
      <c r="C53" s="76">
        <v>31</v>
      </c>
      <c r="D53" s="86" t="s">
        <v>6113</v>
      </c>
      <c r="E53" s="68" t="s">
        <v>4064</v>
      </c>
      <c r="F53" s="87">
        <v>42395</v>
      </c>
      <c r="G53" s="83"/>
      <c r="K53" s="133"/>
      <c r="L53" s="63"/>
      <c r="M53" s="63">
        <v>3850</v>
      </c>
      <c r="N53" s="63"/>
      <c r="O53" s="63">
        <v>15800</v>
      </c>
      <c r="P53" s="63"/>
      <c r="Q53" s="63">
        <f t="shared" si="6"/>
        <v>19650</v>
      </c>
      <c r="R53" s="63">
        <f t="shared" si="7"/>
        <v>0</v>
      </c>
      <c r="S53" s="63">
        <f t="shared" si="8"/>
        <v>19650</v>
      </c>
    </row>
    <row r="54" spans="1:19" x14ac:dyDescent="0.2">
      <c r="A54" s="85">
        <v>119365</v>
      </c>
      <c r="B54" s="85" t="s">
        <v>6062</v>
      </c>
      <c r="C54" s="76">
        <v>31</v>
      </c>
      <c r="D54" s="86" t="s">
        <v>6002</v>
      </c>
      <c r="E54" s="68" t="s">
        <v>4064</v>
      </c>
      <c r="F54" s="87">
        <v>42395</v>
      </c>
      <c r="G54" s="83"/>
      <c r="K54" s="133"/>
      <c r="L54" s="63"/>
      <c r="M54" s="63">
        <v>3400</v>
      </c>
      <c r="N54" s="63"/>
      <c r="O54" s="63">
        <v>15800</v>
      </c>
      <c r="P54" s="63"/>
      <c r="Q54" s="63">
        <f t="shared" si="6"/>
        <v>19200</v>
      </c>
      <c r="R54" s="63">
        <f t="shared" si="7"/>
        <v>0</v>
      </c>
      <c r="S54" s="63">
        <f t="shared" si="8"/>
        <v>19200</v>
      </c>
    </row>
    <row r="55" spans="1:19" x14ac:dyDescent="0.2">
      <c r="A55" s="85">
        <v>119365</v>
      </c>
      <c r="B55" s="85" t="s">
        <v>6062</v>
      </c>
      <c r="C55" s="76">
        <v>31</v>
      </c>
      <c r="D55" s="86" t="s">
        <v>6003</v>
      </c>
      <c r="E55" s="68" t="s">
        <v>4064</v>
      </c>
      <c r="F55" s="87">
        <v>42395</v>
      </c>
      <c r="G55" s="83">
        <f>1995+2064.65+679+90+98+2110.6+4051+407.8+408</f>
        <v>11904.05</v>
      </c>
      <c r="I55" s="63">
        <f>850+2833+267</f>
        <v>3950</v>
      </c>
      <c r="K55" s="133"/>
      <c r="L55" s="63"/>
      <c r="M55" s="63"/>
      <c r="N55" s="63"/>
      <c r="O55" s="63"/>
      <c r="P55" s="63"/>
      <c r="Q55" s="63">
        <f t="shared" si="6"/>
        <v>15854.05</v>
      </c>
      <c r="R55" s="63">
        <f t="shared" si="7"/>
        <v>0</v>
      </c>
      <c r="S55" s="63">
        <f t="shared" si="8"/>
        <v>15854.05</v>
      </c>
    </row>
    <row r="56" spans="1:19" x14ac:dyDescent="0.2">
      <c r="A56" s="85">
        <v>119365</v>
      </c>
      <c r="B56" s="85" t="s">
        <v>6062</v>
      </c>
      <c r="C56" s="76">
        <v>31</v>
      </c>
      <c r="D56" s="86" t="s">
        <v>6004</v>
      </c>
      <c r="E56" s="68" t="s">
        <v>4064</v>
      </c>
      <c r="F56" s="87">
        <v>42395</v>
      </c>
      <c r="G56" s="83">
        <f>723.6+568+51+638</f>
        <v>1980.6</v>
      </c>
      <c r="K56" s="133"/>
      <c r="L56" s="63"/>
      <c r="M56" s="63"/>
      <c r="N56" s="63"/>
      <c r="O56" s="63"/>
      <c r="P56" s="63"/>
      <c r="Q56" s="63">
        <f t="shared" si="6"/>
        <v>1980.6</v>
      </c>
      <c r="R56" s="63">
        <f t="shared" si="7"/>
        <v>0</v>
      </c>
      <c r="S56" s="63">
        <f t="shared" si="8"/>
        <v>1980.6</v>
      </c>
    </row>
    <row r="57" spans="1:19" x14ac:dyDescent="0.2">
      <c r="A57" s="85">
        <v>117720</v>
      </c>
      <c r="B57" s="85" t="s">
        <v>6063</v>
      </c>
      <c r="C57" s="76">
        <v>32</v>
      </c>
      <c r="D57" s="86" t="s">
        <v>6005</v>
      </c>
      <c r="E57" s="85" t="s">
        <v>19</v>
      </c>
      <c r="F57" s="87">
        <v>42396</v>
      </c>
      <c r="G57" s="83">
        <f>278.84</f>
        <v>278.83999999999997</v>
      </c>
      <c r="K57" s="133"/>
      <c r="L57" s="63"/>
      <c r="M57" s="63"/>
      <c r="N57" s="63"/>
      <c r="O57" s="63"/>
      <c r="P57" s="63"/>
      <c r="Q57" s="63">
        <f t="shared" si="6"/>
        <v>278.83999999999997</v>
      </c>
      <c r="R57" s="63">
        <f t="shared" si="7"/>
        <v>0</v>
      </c>
      <c r="S57" s="63">
        <f t="shared" si="8"/>
        <v>278.83999999999997</v>
      </c>
    </row>
    <row r="58" spans="1:19" x14ac:dyDescent="0.2">
      <c r="A58" s="85">
        <v>115556</v>
      </c>
      <c r="B58" s="85" t="s">
        <v>6064</v>
      </c>
      <c r="C58" s="76">
        <v>33</v>
      </c>
      <c r="D58" s="86" t="s">
        <v>6006</v>
      </c>
      <c r="E58" s="85" t="s">
        <v>19</v>
      </c>
      <c r="F58" s="87">
        <v>42396</v>
      </c>
      <c r="G58" s="83">
        <f>240+290.73+53.1+153.4+251.9</f>
        <v>989.13</v>
      </c>
      <c r="I58" s="63">
        <f>500+250</f>
        <v>750</v>
      </c>
      <c r="K58" s="133"/>
      <c r="L58" s="63"/>
      <c r="M58" s="63"/>
      <c r="N58" s="63"/>
      <c r="O58" s="63"/>
      <c r="P58" s="63"/>
      <c r="Q58" s="63">
        <f t="shared" si="6"/>
        <v>1739.13</v>
      </c>
      <c r="R58" s="63">
        <f t="shared" si="7"/>
        <v>0</v>
      </c>
      <c r="S58" s="63">
        <f t="shared" si="8"/>
        <v>1739.13</v>
      </c>
    </row>
    <row r="59" spans="1:19" x14ac:dyDescent="0.2">
      <c r="A59" s="85">
        <v>124817</v>
      </c>
      <c r="B59" s="85" t="s">
        <v>6065</v>
      </c>
      <c r="C59" s="76">
        <v>34</v>
      </c>
      <c r="D59" s="86" t="s">
        <v>6007</v>
      </c>
      <c r="E59" s="85" t="s">
        <v>19</v>
      </c>
      <c r="F59" s="87">
        <v>42396</v>
      </c>
      <c r="G59" s="83">
        <f>86.1</f>
        <v>86.1</v>
      </c>
      <c r="K59" s="133"/>
      <c r="L59" s="63"/>
      <c r="M59" s="63"/>
      <c r="N59" s="63"/>
      <c r="O59" s="63"/>
      <c r="P59" s="63"/>
      <c r="Q59" s="63">
        <f t="shared" si="6"/>
        <v>86.1</v>
      </c>
      <c r="R59" s="63">
        <f t="shared" si="7"/>
        <v>0</v>
      </c>
      <c r="S59" s="63">
        <f t="shared" si="8"/>
        <v>86.1</v>
      </c>
    </row>
    <row r="60" spans="1:19" x14ac:dyDescent="0.2">
      <c r="A60" s="85">
        <v>124817</v>
      </c>
      <c r="B60" s="85" t="s">
        <v>6065</v>
      </c>
      <c r="C60" s="76">
        <v>34</v>
      </c>
      <c r="D60" s="86" t="s">
        <v>6008</v>
      </c>
      <c r="E60" s="85" t="s">
        <v>19</v>
      </c>
      <c r="F60" s="87">
        <v>42396</v>
      </c>
      <c r="G60" s="83">
        <f>95</f>
        <v>95</v>
      </c>
      <c r="K60" s="133"/>
      <c r="L60" s="63"/>
      <c r="M60" s="63"/>
      <c r="N60" s="63"/>
      <c r="O60" s="63"/>
      <c r="P60" s="63"/>
      <c r="Q60" s="63">
        <f t="shared" si="6"/>
        <v>95</v>
      </c>
      <c r="R60" s="63">
        <f t="shared" si="7"/>
        <v>0</v>
      </c>
      <c r="S60" s="63">
        <f t="shared" si="8"/>
        <v>95</v>
      </c>
    </row>
    <row r="61" spans="1:19" x14ac:dyDescent="0.2">
      <c r="A61" s="85">
        <v>115030</v>
      </c>
      <c r="B61" s="85" t="s">
        <v>6066</v>
      </c>
      <c r="C61" s="76">
        <v>35</v>
      </c>
      <c r="D61" s="86" t="s">
        <v>6009</v>
      </c>
      <c r="E61" s="68" t="s">
        <v>4064</v>
      </c>
      <c r="F61" s="87">
        <v>42396</v>
      </c>
      <c r="G61" s="83">
        <f>427.6+761+133</f>
        <v>1321.6</v>
      </c>
      <c r="I61" s="63">
        <v>400</v>
      </c>
      <c r="K61" s="133"/>
      <c r="L61" s="63"/>
      <c r="M61" s="63"/>
      <c r="N61" s="63"/>
      <c r="O61" s="63"/>
      <c r="P61" s="63"/>
      <c r="Q61" s="63">
        <f t="shared" si="6"/>
        <v>1721.6</v>
      </c>
      <c r="R61" s="63">
        <f t="shared" si="7"/>
        <v>0</v>
      </c>
      <c r="S61" s="63">
        <f t="shared" si="8"/>
        <v>1721.6</v>
      </c>
    </row>
    <row r="62" spans="1:19" x14ac:dyDescent="0.2">
      <c r="A62" s="85">
        <v>129798</v>
      </c>
      <c r="B62" s="85" t="s">
        <v>6067</v>
      </c>
      <c r="C62" s="76">
        <v>36</v>
      </c>
      <c r="D62" s="86" t="s">
        <v>6010</v>
      </c>
      <c r="E62" s="85" t="s">
        <v>19</v>
      </c>
      <c r="F62" s="87">
        <v>42397</v>
      </c>
      <c r="G62" s="83">
        <f>348.1+166.66+53.1+58.17</f>
        <v>626.03</v>
      </c>
      <c r="I62" s="63">
        <f>750</f>
        <v>750</v>
      </c>
      <c r="K62" s="133"/>
      <c r="L62" s="63"/>
      <c r="M62" s="63"/>
      <c r="N62" s="63"/>
      <c r="O62" s="63"/>
      <c r="P62" s="63"/>
      <c r="Q62" s="63">
        <f t="shared" si="6"/>
        <v>1376.03</v>
      </c>
      <c r="R62" s="63">
        <f t="shared" si="7"/>
        <v>0</v>
      </c>
      <c r="S62" s="63">
        <f t="shared" si="8"/>
        <v>1376.03</v>
      </c>
    </row>
    <row r="63" spans="1:19" x14ac:dyDescent="0.2">
      <c r="A63" s="85">
        <v>126099</v>
      </c>
      <c r="B63" s="85" t="s">
        <v>6068</v>
      </c>
      <c r="C63" s="76">
        <v>37</v>
      </c>
      <c r="D63" s="86" t="s">
        <v>6011</v>
      </c>
      <c r="E63" s="85" t="s">
        <v>19</v>
      </c>
      <c r="F63" s="87">
        <v>42397</v>
      </c>
      <c r="G63" s="83">
        <f>865.77</f>
        <v>865.77</v>
      </c>
      <c r="K63" s="133"/>
      <c r="L63" s="63"/>
      <c r="M63" s="63"/>
      <c r="N63" s="63"/>
      <c r="O63" s="63"/>
      <c r="P63" s="63"/>
      <c r="Q63" s="63">
        <f t="shared" si="6"/>
        <v>865.77</v>
      </c>
      <c r="R63" s="63">
        <f t="shared" si="7"/>
        <v>0</v>
      </c>
      <c r="S63" s="63">
        <f t="shared" si="8"/>
        <v>865.77</v>
      </c>
    </row>
    <row r="64" spans="1:19" x14ac:dyDescent="0.2">
      <c r="A64" s="85">
        <v>124465</v>
      </c>
      <c r="B64" s="85" t="s">
        <v>6069</v>
      </c>
      <c r="C64" s="76">
        <v>38</v>
      </c>
      <c r="D64" s="86" t="s">
        <v>6012</v>
      </c>
      <c r="E64" s="85" t="s">
        <v>19</v>
      </c>
      <c r="F64" s="87">
        <v>42399</v>
      </c>
      <c r="G64" s="83">
        <f>105.4</f>
        <v>105.4</v>
      </c>
      <c r="K64" s="133"/>
      <c r="L64" s="63"/>
      <c r="M64" s="63"/>
      <c r="N64" s="63"/>
      <c r="O64" s="63"/>
      <c r="P64" s="63"/>
      <c r="Q64" s="63">
        <f t="shared" si="6"/>
        <v>105.4</v>
      </c>
      <c r="R64" s="63">
        <f t="shared" si="7"/>
        <v>0</v>
      </c>
      <c r="S64" s="63">
        <f t="shared" si="8"/>
        <v>105.4</v>
      </c>
    </row>
    <row r="65" spans="1:19" x14ac:dyDescent="0.2">
      <c r="A65" s="85">
        <v>124465</v>
      </c>
      <c r="B65" s="85" t="s">
        <v>6069</v>
      </c>
      <c r="C65" s="76">
        <v>38</v>
      </c>
      <c r="D65" s="86" t="s">
        <v>6013</v>
      </c>
      <c r="E65" s="85" t="s">
        <v>19</v>
      </c>
      <c r="F65" s="87">
        <v>42399</v>
      </c>
      <c r="G65" s="83">
        <f>135+166.5+70</f>
        <v>371.5</v>
      </c>
      <c r="I65" s="63">
        <f>175</f>
        <v>175</v>
      </c>
      <c r="K65" s="133"/>
      <c r="L65" s="63"/>
      <c r="M65" s="63"/>
      <c r="N65" s="63"/>
      <c r="O65" s="63"/>
      <c r="P65" s="63"/>
      <c r="Q65" s="63">
        <f t="shared" si="6"/>
        <v>546.5</v>
      </c>
      <c r="R65" s="63">
        <f t="shared" si="7"/>
        <v>0</v>
      </c>
      <c r="S65" s="63">
        <f t="shared" si="8"/>
        <v>546.5</v>
      </c>
    </row>
    <row r="66" spans="1:19" x14ac:dyDescent="0.2">
      <c r="A66" s="85">
        <v>124465</v>
      </c>
      <c r="B66" s="85" t="s">
        <v>6069</v>
      </c>
      <c r="C66" s="76">
        <v>38</v>
      </c>
      <c r="D66" s="86" t="s">
        <v>6014</v>
      </c>
      <c r="E66" s="85" t="s">
        <v>19</v>
      </c>
      <c r="F66" s="87">
        <v>42399</v>
      </c>
      <c r="G66" s="83">
        <f>211+35</f>
        <v>246</v>
      </c>
      <c r="I66" s="63">
        <f>325</f>
        <v>325</v>
      </c>
      <c r="K66" s="133"/>
      <c r="L66" s="63"/>
      <c r="M66" s="63"/>
      <c r="N66" s="63"/>
      <c r="O66" s="63"/>
      <c r="P66" s="63"/>
      <c r="Q66" s="63">
        <f t="shared" si="6"/>
        <v>571</v>
      </c>
      <c r="R66" s="63">
        <f t="shared" si="7"/>
        <v>0</v>
      </c>
      <c r="S66" s="63">
        <f t="shared" si="8"/>
        <v>571</v>
      </c>
    </row>
    <row r="67" spans="1:19" x14ac:dyDescent="0.2">
      <c r="A67" s="85">
        <v>127739</v>
      </c>
      <c r="B67" s="85" t="s">
        <v>6070</v>
      </c>
      <c r="C67" s="76">
        <v>39</v>
      </c>
      <c r="D67" s="86" t="s">
        <v>6015</v>
      </c>
      <c r="E67" s="85" t="s">
        <v>19</v>
      </c>
      <c r="F67" s="87">
        <v>42401</v>
      </c>
      <c r="G67" s="83">
        <f>119.97+106.52+119.97+191.4+119.97</f>
        <v>657.83</v>
      </c>
      <c r="I67" s="63">
        <f>250</f>
        <v>250</v>
      </c>
      <c r="K67" s="133"/>
      <c r="L67" s="63"/>
      <c r="M67" s="63"/>
      <c r="N67" s="63"/>
      <c r="O67" s="63"/>
      <c r="P67" s="63"/>
      <c r="Q67" s="63">
        <f t="shared" si="6"/>
        <v>907.83</v>
      </c>
      <c r="R67" s="63">
        <f t="shared" si="7"/>
        <v>0</v>
      </c>
      <c r="S67" s="63">
        <f t="shared" si="8"/>
        <v>907.83</v>
      </c>
    </row>
    <row r="68" spans="1:19" x14ac:dyDescent="0.2">
      <c r="A68" s="85">
        <v>124359</v>
      </c>
      <c r="B68" s="85" t="s">
        <v>6071</v>
      </c>
      <c r="C68" s="76">
        <v>40</v>
      </c>
      <c r="D68" s="86" t="s">
        <v>6016</v>
      </c>
      <c r="E68" s="85" t="s">
        <v>19</v>
      </c>
      <c r="F68" s="87">
        <v>42401</v>
      </c>
      <c r="G68" s="83">
        <f>48</f>
        <v>48</v>
      </c>
      <c r="K68" s="133"/>
      <c r="L68" s="63"/>
      <c r="M68" s="63"/>
      <c r="N68" s="63"/>
      <c r="O68" s="63"/>
      <c r="P68" s="63"/>
      <c r="Q68" s="63">
        <f t="shared" si="6"/>
        <v>48</v>
      </c>
      <c r="R68" s="63">
        <f t="shared" si="7"/>
        <v>0</v>
      </c>
      <c r="S68" s="63">
        <f t="shared" si="8"/>
        <v>48</v>
      </c>
    </row>
    <row r="69" spans="1:19" x14ac:dyDescent="0.2">
      <c r="A69" s="85">
        <v>124359</v>
      </c>
      <c r="B69" s="85" t="s">
        <v>6071</v>
      </c>
      <c r="C69" s="76">
        <v>40</v>
      </c>
      <c r="D69" s="86" t="s">
        <v>6017</v>
      </c>
      <c r="E69" s="85" t="s">
        <v>19</v>
      </c>
      <c r="F69" s="87">
        <v>42401</v>
      </c>
      <c r="G69" s="83">
        <f>48</f>
        <v>48</v>
      </c>
      <c r="K69" s="133"/>
      <c r="L69" s="63"/>
      <c r="M69" s="63"/>
      <c r="N69" s="63"/>
      <c r="O69" s="63"/>
      <c r="P69" s="63"/>
      <c r="Q69" s="63">
        <f t="shared" si="6"/>
        <v>48</v>
      </c>
      <c r="R69" s="63">
        <f t="shared" si="7"/>
        <v>0</v>
      </c>
      <c r="S69" s="63">
        <f t="shared" si="8"/>
        <v>48</v>
      </c>
    </row>
    <row r="70" spans="1:19" x14ac:dyDescent="0.2">
      <c r="A70" s="85">
        <v>129523</v>
      </c>
      <c r="B70" s="85" t="s">
        <v>6072</v>
      </c>
      <c r="C70" s="76">
        <v>41</v>
      </c>
      <c r="D70" s="86" t="s">
        <v>6018</v>
      </c>
      <c r="E70" s="85" t="s">
        <v>19</v>
      </c>
      <c r="F70" s="87">
        <v>42404</v>
      </c>
      <c r="G70" s="83">
        <f>210.6</f>
        <v>210.6</v>
      </c>
      <c r="K70" s="133"/>
      <c r="L70" s="63"/>
      <c r="M70" s="63"/>
      <c r="N70" s="63"/>
      <c r="O70" s="63"/>
      <c r="P70" s="63"/>
      <c r="Q70" s="63">
        <f t="shared" si="6"/>
        <v>210.6</v>
      </c>
      <c r="R70" s="63">
        <f t="shared" si="7"/>
        <v>0</v>
      </c>
      <c r="S70" s="63">
        <f t="shared" si="8"/>
        <v>210.6</v>
      </c>
    </row>
    <row r="71" spans="1:19" x14ac:dyDescent="0.2">
      <c r="A71" s="85">
        <v>106298</v>
      </c>
      <c r="B71" s="85" t="s">
        <v>6073</v>
      </c>
      <c r="C71" s="76">
        <v>42</v>
      </c>
      <c r="D71" s="86" t="s">
        <v>6019</v>
      </c>
      <c r="E71" s="85" t="s">
        <v>19</v>
      </c>
      <c r="F71" s="87">
        <v>42405</v>
      </c>
      <c r="G71" s="83">
        <f>85.3</f>
        <v>85.3</v>
      </c>
      <c r="K71" s="133"/>
      <c r="L71" s="63"/>
      <c r="M71" s="63"/>
      <c r="N71" s="63"/>
      <c r="O71" s="63"/>
      <c r="P71" s="63"/>
      <c r="Q71" s="63">
        <f t="shared" si="6"/>
        <v>85.3</v>
      </c>
      <c r="R71" s="63">
        <f t="shared" si="7"/>
        <v>0</v>
      </c>
      <c r="S71" s="63">
        <f t="shared" si="8"/>
        <v>85.3</v>
      </c>
    </row>
    <row r="72" spans="1:19" x14ac:dyDescent="0.2">
      <c r="A72" s="85">
        <v>118500</v>
      </c>
      <c r="B72" s="85" t="s">
        <v>6074</v>
      </c>
      <c r="C72" s="76">
        <v>43</v>
      </c>
      <c r="D72" s="86" t="s">
        <v>6020</v>
      </c>
      <c r="E72" s="85" t="s">
        <v>19</v>
      </c>
      <c r="F72" s="87">
        <v>42407</v>
      </c>
      <c r="G72" s="83">
        <f>40</f>
        <v>40</v>
      </c>
      <c r="K72" s="133"/>
      <c r="L72" s="63"/>
      <c r="M72" s="63"/>
      <c r="N72" s="63"/>
      <c r="O72" s="63"/>
      <c r="P72" s="63"/>
      <c r="Q72" s="63">
        <f t="shared" si="6"/>
        <v>40</v>
      </c>
      <c r="R72" s="63">
        <f t="shared" si="7"/>
        <v>0</v>
      </c>
      <c r="S72" s="63">
        <f t="shared" si="8"/>
        <v>40</v>
      </c>
    </row>
    <row r="73" spans="1:19" x14ac:dyDescent="0.2">
      <c r="A73" s="85">
        <v>118500</v>
      </c>
      <c r="B73" s="85" t="s">
        <v>6074</v>
      </c>
      <c r="C73" s="76">
        <v>43</v>
      </c>
      <c r="D73" s="86" t="s">
        <v>6021</v>
      </c>
      <c r="E73" s="85" t="s">
        <v>19</v>
      </c>
      <c r="F73" s="87">
        <v>42407</v>
      </c>
      <c r="G73" s="83">
        <f>145</f>
        <v>145</v>
      </c>
      <c r="K73" s="133"/>
      <c r="L73" s="63"/>
      <c r="M73" s="63"/>
      <c r="N73" s="63"/>
      <c r="O73" s="63"/>
      <c r="P73" s="63"/>
      <c r="Q73" s="63">
        <f t="shared" si="6"/>
        <v>145</v>
      </c>
      <c r="R73" s="63">
        <f t="shared" si="7"/>
        <v>0</v>
      </c>
      <c r="S73" s="63">
        <f t="shared" si="8"/>
        <v>145</v>
      </c>
    </row>
    <row r="74" spans="1:19" x14ac:dyDescent="0.2">
      <c r="A74" s="85">
        <v>125506</v>
      </c>
      <c r="B74" s="85" t="s">
        <v>6075</v>
      </c>
      <c r="C74" s="76">
        <v>44</v>
      </c>
      <c r="D74" s="86" t="s">
        <v>6022</v>
      </c>
      <c r="E74" s="85" t="s">
        <v>19</v>
      </c>
      <c r="F74" s="87">
        <v>42407</v>
      </c>
      <c r="G74" s="83">
        <f>48</f>
        <v>48</v>
      </c>
      <c r="K74" s="133"/>
      <c r="L74" s="63"/>
      <c r="M74" s="63"/>
      <c r="N74" s="63"/>
      <c r="O74" s="63"/>
      <c r="P74" s="63"/>
      <c r="Q74" s="63">
        <f t="shared" si="6"/>
        <v>48</v>
      </c>
      <c r="R74" s="63">
        <f t="shared" si="7"/>
        <v>0</v>
      </c>
      <c r="S74" s="63">
        <f t="shared" si="8"/>
        <v>48</v>
      </c>
    </row>
    <row r="75" spans="1:19" x14ac:dyDescent="0.2">
      <c r="A75" s="85">
        <v>125506</v>
      </c>
      <c r="B75" s="85" t="s">
        <v>6075</v>
      </c>
      <c r="C75" s="76">
        <v>44</v>
      </c>
      <c r="D75" s="86" t="s">
        <v>6023</v>
      </c>
      <c r="E75" s="85" t="s">
        <v>19</v>
      </c>
      <c r="F75" s="87">
        <v>42407</v>
      </c>
      <c r="G75" s="83">
        <f>40</f>
        <v>40</v>
      </c>
      <c r="K75" s="133"/>
      <c r="L75" s="63"/>
      <c r="M75" s="63"/>
      <c r="N75" s="63"/>
      <c r="O75" s="63"/>
      <c r="P75" s="63"/>
      <c r="Q75" s="63">
        <f t="shared" si="6"/>
        <v>40</v>
      </c>
      <c r="R75" s="63">
        <f t="shared" si="7"/>
        <v>0</v>
      </c>
      <c r="S75" s="63">
        <f t="shared" si="8"/>
        <v>40</v>
      </c>
    </row>
    <row r="76" spans="1:19" x14ac:dyDescent="0.2">
      <c r="A76" s="85">
        <v>127761</v>
      </c>
      <c r="B76" s="85" t="s">
        <v>6076</v>
      </c>
      <c r="C76" s="76">
        <v>45</v>
      </c>
      <c r="D76" s="86" t="s">
        <v>6024</v>
      </c>
      <c r="E76" s="85" t="s">
        <v>19</v>
      </c>
      <c r="F76" s="87">
        <v>42408</v>
      </c>
      <c r="G76" s="83">
        <f>201+36.4</f>
        <v>237.4</v>
      </c>
      <c r="K76" s="133"/>
      <c r="L76" s="63"/>
      <c r="M76" s="63"/>
      <c r="N76" s="63"/>
      <c r="O76" s="63"/>
      <c r="P76" s="63"/>
      <c r="Q76" s="63">
        <f t="shared" si="6"/>
        <v>237.4</v>
      </c>
      <c r="R76" s="63">
        <f t="shared" si="7"/>
        <v>0</v>
      </c>
      <c r="S76" s="63">
        <f t="shared" si="8"/>
        <v>237.4</v>
      </c>
    </row>
    <row r="77" spans="1:19" x14ac:dyDescent="0.2">
      <c r="A77" s="85">
        <v>112771</v>
      </c>
      <c r="B77" s="85" t="s">
        <v>6077</v>
      </c>
      <c r="C77" s="76">
        <v>46</v>
      </c>
      <c r="D77" s="86" t="s">
        <v>6025</v>
      </c>
      <c r="E77" s="85" t="s">
        <v>19</v>
      </c>
      <c r="F77" s="87">
        <v>42408</v>
      </c>
      <c r="G77" s="83">
        <f>70.76+153</f>
        <v>223.76</v>
      </c>
      <c r="K77" s="133"/>
      <c r="L77" s="63"/>
      <c r="M77" s="63"/>
      <c r="N77" s="63"/>
      <c r="O77" s="63"/>
      <c r="P77" s="63"/>
      <c r="Q77" s="63">
        <f t="shared" si="6"/>
        <v>223.76</v>
      </c>
      <c r="R77" s="63">
        <f t="shared" si="7"/>
        <v>0</v>
      </c>
      <c r="S77" s="63">
        <f t="shared" si="8"/>
        <v>223.76</v>
      </c>
    </row>
    <row r="78" spans="1:19" x14ac:dyDescent="0.2">
      <c r="A78" s="85">
        <v>126737</v>
      </c>
      <c r="B78" s="85" t="s">
        <v>6078</v>
      </c>
      <c r="C78" s="76">
        <v>47</v>
      </c>
      <c r="D78" s="86" t="s">
        <v>6026</v>
      </c>
      <c r="E78" s="85" t="s">
        <v>19</v>
      </c>
      <c r="F78" s="87">
        <v>42408</v>
      </c>
      <c r="G78" s="83">
        <f>47.2+145.94+145.94+235.73+377.6+67.85+67.85+67.85+124.71+124.71+67.85+111.25+348.1+58.3+100.06+127.49</f>
        <v>2218.4299999999998</v>
      </c>
      <c r="I78" s="63">
        <f>1500+800</f>
        <v>2300</v>
      </c>
      <c r="K78" s="133"/>
      <c r="L78" s="63"/>
      <c r="M78" s="63"/>
      <c r="N78" s="63"/>
      <c r="O78" s="63"/>
      <c r="P78" s="63"/>
      <c r="Q78" s="63">
        <f t="shared" si="6"/>
        <v>4518.43</v>
      </c>
      <c r="R78" s="63">
        <f t="shared" si="7"/>
        <v>0</v>
      </c>
      <c r="S78" s="63">
        <f t="shared" si="8"/>
        <v>4518.43</v>
      </c>
    </row>
    <row r="79" spans="1:19" x14ac:dyDescent="0.2">
      <c r="A79" s="85">
        <v>121810</v>
      </c>
      <c r="B79" s="85" t="s">
        <v>6079</v>
      </c>
      <c r="C79" s="76">
        <v>48</v>
      </c>
      <c r="D79" s="86" t="s">
        <v>6027</v>
      </c>
      <c r="E79" s="85" t="s">
        <v>19</v>
      </c>
      <c r="F79" s="87">
        <v>42408</v>
      </c>
      <c r="G79" s="83">
        <f>224.79</f>
        <v>224.79</v>
      </c>
      <c r="K79" s="133"/>
      <c r="L79" s="63"/>
      <c r="M79" s="63"/>
      <c r="N79" s="63"/>
      <c r="O79" s="63"/>
      <c r="P79" s="63"/>
      <c r="Q79" s="63">
        <f t="shared" si="6"/>
        <v>224.79</v>
      </c>
      <c r="R79" s="63">
        <f t="shared" si="7"/>
        <v>0</v>
      </c>
      <c r="S79" s="63">
        <f t="shared" si="8"/>
        <v>224.79</v>
      </c>
    </row>
    <row r="80" spans="1:19" x14ac:dyDescent="0.2">
      <c r="A80" s="85">
        <v>106320</v>
      </c>
      <c r="B80" s="85" t="s">
        <v>6080</v>
      </c>
      <c r="C80" s="76">
        <v>49</v>
      </c>
      <c r="D80" s="86" t="s">
        <v>6028</v>
      </c>
      <c r="E80" s="85" t="s">
        <v>19</v>
      </c>
      <c r="F80" s="87">
        <v>42410</v>
      </c>
      <c r="G80" s="83"/>
      <c r="K80" s="133"/>
      <c r="L80" s="63"/>
      <c r="M80" s="63"/>
      <c r="N80" s="63"/>
      <c r="O80" s="63"/>
      <c r="P80" s="63"/>
      <c r="Q80" s="63">
        <f t="shared" si="6"/>
        <v>0</v>
      </c>
      <c r="R80" s="63">
        <f t="shared" si="7"/>
        <v>0</v>
      </c>
      <c r="S80" s="63">
        <f t="shared" si="8"/>
        <v>0</v>
      </c>
    </row>
    <row r="81" spans="1:19" x14ac:dyDescent="0.2">
      <c r="A81" s="85">
        <v>106320</v>
      </c>
      <c r="B81" s="85" t="s">
        <v>6080</v>
      </c>
      <c r="C81" s="76">
        <v>49</v>
      </c>
      <c r="D81" s="86" t="s">
        <v>6029</v>
      </c>
      <c r="E81" s="85" t="s">
        <v>19</v>
      </c>
      <c r="F81" s="87">
        <v>42410</v>
      </c>
      <c r="G81" s="83"/>
      <c r="K81" s="133"/>
      <c r="L81" s="63"/>
      <c r="M81" s="63"/>
      <c r="N81" s="63"/>
      <c r="O81" s="63"/>
      <c r="P81" s="63"/>
      <c r="Q81" s="63">
        <f t="shared" si="6"/>
        <v>0</v>
      </c>
      <c r="R81" s="63">
        <f t="shared" si="7"/>
        <v>0</v>
      </c>
      <c r="S81" s="63">
        <f t="shared" si="8"/>
        <v>0</v>
      </c>
    </row>
    <row r="82" spans="1:19" x14ac:dyDescent="0.2">
      <c r="A82" s="85">
        <v>106320</v>
      </c>
      <c r="B82" s="85" t="s">
        <v>6080</v>
      </c>
      <c r="C82" s="76">
        <v>49</v>
      </c>
      <c r="D82" s="86" t="s">
        <v>6030</v>
      </c>
      <c r="E82" s="85" t="s">
        <v>19</v>
      </c>
      <c r="F82" s="87">
        <v>42410</v>
      </c>
      <c r="G82" s="83"/>
      <c r="K82" s="133"/>
      <c r="L82" s="63"/>
      <c r="M82" s="63"/>
      <c r="N82" s="63"/>
      <c r="O82" s="63"/>
      <c r="P82" s="63"/>
      <c r="Q82" s="63">
        <f t="shared" si="6"/>
        <v>0</v>
      </c>
      <c r="R82" s="63">
        <f t="shared" si="7"/>
        <v>0</v>
      </c>
      <c r="S82" s="63">
        <f t="shared" si="8"/>
        <v>0</v>
      </c>
    </row>
    <row r="83" spans="1:19" x14ac:dyDescent="0.2">
      <c r="A83" s="85">
        <v>106320</v>
      </c>
      <c r="B83" s="85" t="s">
        <v>6080</v>
      </c>
      <c r="C83" s="76">
        <v>49</v>
      </c>
      <c r="D83" s="86" t="s">
        <v>6031</v>
      </c>
      <c r="E83" s="85" t="s">
        <v>19</v>
      </c>
      <c r="F83" s="87">
        <v>42410</v>
      </c>
      <c r="G83" s="83"/>
      <c r="K83" s="133"/>
      <c r="L83" s="63"/>
      <c r="M83" s="63"/>
      <c r="N83" s="63"/>
      <c r="O83" s="63"/>
      <c r="P83" s="63"/>
      <c r="Q83" s="63">
        <f t="shared" si="6"/>
        <v>0</v>
      </c>
      <c r="R83" s="63">
        <f t="shared" si="7"/>
        <v>0</v>
      </c>
      <c r="S83" s="63">
        <f t="shared" si="8"/>
        <v>0</v>
      </c>
    </row>
    <row r="84" spans="1:19" x14ac:dyDescent="0.2">
      <c r="A84" s="85">
        <v>132431</v>
      </c>
      <c r="B84" s="85" t="s">
        <v>6081</v>
      </c>
      <c r="C84" s="76">
        <v>50</v>
      </c>
      <c r="D84" s="86" t="s">
        <v>6032</v>
      </c>
      <c r="E84" s="85" t="s">
        <v>19</v>
      </c>
      <c r="F84" s="87">
        <v>42411</v>
      </c>
      <c r="G84" s="83">
        <f>186.4+151</f>
        <v>337.4</v>
      </c>
      <c r="K84" s="133"/>
      <c r="L84" s="63"/>
      <c r="M84" s="63"/>
      <c r="N84" s="63"/>
      <c r="O84" s="63"/>
      <c r="P84" s="63"/>
      <c r="Q84" s="63">
        <f t="shared" si="6"/>
        <v>337.4</v>
      </c>
      <c r="R84" s="63">
        <f t="shared" si="7"/>
        <v>0</v>
      </c>
      <c r="S84" s="63">
        <f t="shared" si="8"/>
        <v>337.4</v>
      </c>
    </row>
    <row r="85" spans="1:19" x14ac:dyDescent="0.2">
      <c r="A85" s="85">
        <v>125630</v>
      </c>
      <c r="B85" s="85" t="s">
        <v>4151</v>
      </c>
      <c r="C85" s="76">
        <v>51</v>
      </c>
      <c r="D85" s="86" t="s">
        <v>6082</v>
      </c>
      <c r="E85" s="85" t="s">
        <v>4179</v>
      </c>
      <c r="F85" s="87">
        <v>42412</v>
      </c>
      <c r="G85" s="83">
        <f>75.97</f>
        <v>75.97</v>
      </c>
      <c r="K85" s="133"/>
      <c r="L85" s="63"/>
      <c r="M85" s="63"/>
      <c r="N85" s="63"/>
      <c r="O85" s="63"/>
      <c r="P85" s="63"/>
      <c r="Q85" s="63">
        <f t="shared" si="6"/>
        <v>75.97</v>
      </c>
      <c r="R85" s="63">
        <f t="shared" si="7"/>
        <v>0</v>
      </c>
      <c r="S85" s="63">
        <f t="shared" si="8"/>
        <v>75.97</v>
      </c>
    </row>
    <row r="86" spans="1:19" x14ac:dyDescent="0.2">
      <c r="A86" s="85">
        <v>125630</v>
      </c>
      <c r="B86" s="85" t="s">
        <v>4151</v>
      </c>
      <c r="C86" s="76">
        <v>51</v>
      </c>
      <c r="D86" s="86" t="s">
        <v>6083</v>
      </c>
      <c r="E86" s="85" t="s">
        <v>4179</v>
      </c>
      <c r="F86" s="87">
        <v>42412</v>
      </c>
      <c r="G86" s="83">
        <f>62.27</f>
        <v>62.27</v>
      </c>
      <c r="K86" s="133"/>
      <c r="L86" s="63"/>
      <c r="M86" s="63"/>
      <c r="N86" s="63"/>
      <c r="O86" s="63"/>
      <c r="P86" s="63"/>
      <c r="Q86" s="63">
        <f t="shared" si="6"/>
        <v>62.27</v>
      </c>
      <c r="R86" s="63">
        <f t="shared" si="7"/>
        <v>0</v>
      </c>
      <c r="S86" s="63">
        <f t="shared" si="8"/>
        <v>62.27</v>
      </c>
    </row>
    <row r="87" spans="1:19" x14ac:dyDescent="0.2">
      <c r="A87" s="85">
        <v>115473</v>
      </c>
      <c r="B87" s="85" t="s">
        <v>6084</v>
      </c>
      <c r="C87" s="76">
        <v>52</v>
      </c>
      <c r="D87" s="86" t="s">
        <v>6085</v>
      </c>
      <c r="E87" s="85" t="s">
        <v>19</v>
      </c>
      <c r="F87" s="87">
        <v>42412</v>
      </c>
      <c r="G87" s="83">
        <f>160</f>
        <v>160</v>
      </c>
      <c r="K87" s="133"/>
      <c r="L87" s="63"/>
      <c r="M87" s="63"/>
      <c r="N87" s="63"/>
      <c r="O87" s="63"/>
      <c r="P87" s="63"/>
      <c r="Q87" s="63">
        <f t="shared" si="6"/>
        <v>160</v>
      </c>
      <c r="R87" s="63">
        <f t="shared" si="7"/>
        <v>0</v>
      </c>
      <c r="S87" s="63">
        <f t="shared" si="8"/>
        <v>160</v>
      </c>
    </row>
    <row r="88" spans="1:19" x14ac:dyDescent="0.2">
      <c r="A88" s="85">
        <v>106418</v>
      </c>
      <c r="B88" s="85" t="s">
        <v>4666</v>
      </c>
      <c r="C88" s="76">
        <v>53</v>
      </c>
      <c r="D88" s="86" t="s">
        <v>6086</v>
      </c>
      <c r="E88" s="85" t="s">
        <v>19</v>
      </c>
      <c r="F88" s="87">
        <v>42412</v>
      </c>
      <c r="G88" s="83">
        <f>250+1091+531.2+38.17+215.85+141+105</f>
        <v>2372.2200000000003</v>
      </c>
      <c r="I88" s="63">
        <f>375</f>
        <v>375</v>
      </c>
      <c r="K88" s="133"/>
      <c r="L88" s="63"/>
      <c r="M88" s="63"/>
      <c r="N88" s="63"/>
      <c r="O88" s="63"/>
      <c r="P88" s="63"/>
      <c r="Q88" s="63">
        <f t="shared" si="6"/>
        <v>2747.2200000000003</v>
      </c>
      <c r="R88" s="63">
        <f t="shared" si="7"/>
        <v>0</v>
      </c>
      <c r="S88" s="63">
        <f t="shared" si="8"/>
        <v>2747.2200000000003</v>
      </c>
    </row>
    <row r="89" spans="1:19" x14ac:dyDescent="0.2">
      <c r="A89" s="85">
        <v>115379</v>
      </c>
      <c r="B89" s="85" t="s">
        <v>6087</v>
      </c>
      <c r="C89" s="76">
        <v>54</v>
      </c>
      <c r="D89" s="86" t="s">
        <v>6088</v>
      </c>
      <c r="E89" s="85" t="s">
        <v>19</v>
      </c>
      <c r="F89" s="87">
        <v>42414</v>
      </c>
      <c r="G89" s="83">
        <f>115.6</f>
        <v>115.6</v>
      </c>
      <c r="K89" s="133"/>
      <c r="L89" s="63"/>
      <c r="M89" s="63"/>
      <c r="N89" s="63"/>
      <c r="O89" s="63"/>
      <c r="P89" s="63"/>
      <c r="Q89" s="63">
        <f t="shared" si="6"/>
        <v>115.6</v>
      </c>
      <c r="R89" s="63">
        <f t="shared" si="7"/>
        <v>0</v>
      </c>
      <c r="S89" s="63">
        <f t="shared" si="8"/>
        <v>115.6</v>
      </c>
    </row>
    <row r="90" spans="1:19" x14ac:dyDescent="0.2">
      <c r="A90" s="85">
        <v>127369</v>
      </c>
      <c r="B90" s="85" t="s">
        <v>6089</v>
      </c>
      <c r="C90" s="76">
        <v>55</v>
      </c>
      <c r="D90" s="86" t="s">
        <v>6090</v>
      </c>
      <c r="E90" s="85" t="s">
        <v>19</v>
      </c>
      <c r="F90" s="87">
        <v>42415</v>
      </c>
      <c r="G90" s="83">
        <f>132.29+41.3+195.3+153.28</f>
        <v>522.16999999999996</v>
      </c>
      <c r="K90" s="133"/>
      <c r="L90" s="63"/>
      <c r="M90" s="63"/>
      <c r="N90" s="63"/>
      <c r="O90" s="63"/>
      <c r="P90" s="63"/>
      <c r="Q90" s="63">
        <f t="shared" si="6"/>
        <v>522.16999999999996</v>
      </c>
      <c r="R90" s="63">
        <f t="shared" si="7"/>
        <v>0</v>
      </c>
      <c r="S90" s="63">
        <f t="shared" si="8"/>
        <v>522.16999999999996</v>
      </c>
    </row>
    <row r="91" spans="1:19" x14ac:dyDescent="0.2">
      <c r="A91" s="85">
        <v>127369</v>
      </c>
      <c r="B91" s="85" t="s">
        <v>6089</v>
      </c>
      <c r="C91" s="76">
        <v>55</v>
      </c>
      <c r="D91" s="86" t="s">
        <v>6091</v>
      </c>
      <c r="E91" s="85" t="s">
        <v>19</v>
      </c>
      <c r="F91" s="87">
        <v>42415</v>
      </c>
      <c r="G91" s="83">
        <f>140.08+41.3+136.04+693.72+100.94+86.86+220.7+75.83+195.41+371.3+75.83+41.3</f>
        <v>2179.31</v>
      </c>
      <c r="I91" s="63">
        <f>3146.67</f>
        <v>3146.67</v>
      </c>
      <c r="K91" s="133"/>
      <c r="L91" s="63"/>
      <c r="M91" s="63"/>
      <c r="N91" s="63"/>
      <c r="O91" s="63"/>
      <c r="P91" s="63"/>
      <c r="Q91" s="63">
        <f t="shared" si="6"/>
        <v>5325.98</v>
      </c>
      <c r="R91" s="63">
        <f t="shared" si="7"/>
        <v>0</v>
      </c>
      <c r="S91" s="63">
        <f t="shared" si="8"/>
        <v>5325.98</v>
      </c>
    </row>
    <row r="92" spans="1:19" x14ac:dyDescent="0.2">
      <c r="A92" s="85">
        <v>127369</v>
      </c>
      <c r="B92" s="85" t="s">
        <v>6089</v>
      </c>
      <c r="C92" s="76">
        <v>55</v>
      </c>
      <c r="D92" s="86" t="s">
        <v>6092</v>
      </c>
      <c r="E92" s="85" t="s">
        <v>19</v>
      </c>
      <c r="F92" s="87">
        <v>42415</v>
      </c>
      <c r="G92" s="83">
        <f>93.22</f>
        <v>93.22</v>
      </c>
      <c r="K92" s="133"/>
      <c r="L92" s="63"/>
      <c r="M92" s="63"/>
      <c r="N92" s="63"/>
      <c r="O92" s="63"/>
      <c r="P92" s="63"/>
      <c r="Q92" s="63">
        <f t="shared" si="6"/>
        <v>93.22</v>
      </c>
      <c r="R92" s="63">
        <f t="shared" si="7"/>
        <v>0</v>
      </c>
      <c r="S92" s="63">
        <f t="shared" si="8"/>
        <v>93.22</v>
      </c>
    </row>
    <row r="93" spans="1:19" x14ac:dyDescent="0.2">
      <c r="A93" s="85">
        <v>125012</v>
      </c>
      <c r="B93" s="85" t="s">
        <v>6093</v>
      </c>
      <c r="C93" s="76">
        <v>56</v>
      </c>
      <c r="D93" s="86" t="s">
        <v>6094</v>
      </c>
      <c r="E93" s="85" t="s">
        <v>19</v>
      </c>
      <c r="F93" s="87">
        <v>42415</v>
      </c>
      <c r="G93" s="83">
        <f>244.67</f>
        <v>244.67</v>
      </c>
      <c r="K93" s="133"/>
      <c r="L93" s="63"/>
      <c r="M93" s="63"/>
      <c r="N93" s="63"/>
      <c r="O93" s="63"/>
      <c r="P93" s="63"/>
      <c r="Q93" s="63">
        <f t="shared" si="6"/>
        <v>244.67</v>
      </c>
      <c r="R93" s="63">
        <f t="shared" si="7"/>
        <v>0</v>
      </c>
      <c r="S93" s="63">
        <f t="shared" si="8"/>
        <v>244.67</v>
      </c>
    </row>
    <row r="94" spans="1:19" x14ac:dyDescent="0.2">
      <c r="A94" s="85">
        <v>114694</v>
      </c>
      <c r="B94" s="85" t="s">
        <v>6095</v>
      </c>
      <c r="C94" s="76">
        <v>57</v>
      </c>
      <c r="D94" s="86" t="s">
        <v>6096</v>
      </c>
      <c r="E94" s="85" t="s">
        <v>19</v>
      </c>
      <c r="F94" s="87">
        <v>42417</v>
      </c>
      <c r="G94" s="83">
        <f>240+219.16+71.05+109.39+171+104.31+104.09+150+1116+300+236.25+96.76+365+300+110.92+76.95+215+335+370+335+335</f>
        <v>5360.88</v>
      </c>
      <c r="K94" s="133"/>
      <c r="L94" s="63"/>
      <c r="M94" s="63"/>
      <c r="N94" s="63"/>
      <c r="O94" s="63"/>
      <c r="P94" s="63"/>
      <c r="Q94" s="63">
        <f t="shared" si="6"/>
        <v>5360.88</v>
      </c>
      <c r="R94" s="63">
        <f t="shared" si="7"/>
        <v>0</v>
      </c>
      <c r="S94" s="63">
        <f t="shared" si="8"/>
        <v>5360.88</v>
      </c>
    </row>
    <row r="95" spans="1:19" x14ac:dyDescent="0.2">
      <c r="A95" s="85">
        <v>119251</v>
      </c>
      <c r="B95" s="85" t="s">
        <v>6097</v>
      </c>
      <c r="C95" s="76">
        <v>58</v>
      </c>
      <c r="D95" s="86" t="s">
        <v>6098</v>
      </c>
      <c r="E95" s="85" t="s">
        <v>19</v>
      </c>
      <c r="F95" s="87">
        <v>42418</v>
      </c>
      <c r="G95" s="83">
        <f>79.47</f>
        <v>79.47</v>
      </c>
      <c r="K95" s="133"/>
      <c r="L95" s="63"/>
      <c r="M95" s="63"/>
      <c r="N95" s="63"/>
      <c r="O95" s="63"/>
      <c r="P95" s="63"/>
      <c r="Q95" s="63">
        <f t="shared" ref="Q95:Q158" si="9">+G95+I95+K95+M95+O95</f>
        <v>79.47</v>
      </c>
      <c r="R95" s="63">
        <f t="shared" ref="R95:R158" si="10">+H95+J95+L95+N95+P95</f>
        <v>0</v>
      </c>
      <c r="S95" s="63">
        <f t="shared" ref="S95:S158" si="11">+Q95+R95</f>
        <v>79.47</v>
      </c>
    </row>
    <row r="96" spans="1:19" x14ac:dyDescent="0.2">
      <c r="A96" s="85">
        <v>122176</v>
      </c>
      <c r="B96" s="85" t="s">
        <v>6099</v>
      </c>
      <c r="C96" s="76">
        <v>59</v>
      </c>
      <c r="D96" s="86" t="s">
        <v>6100</v>
      </c>
      <c r="E96" s="85" t="s">
        <v>19</v>
      </c>
      <c r="F96" s="87">
        <v>42418</v>
      </c>
      <c r="G96" s="83">
        <f>186.91</f>
        <v>186.91</v>
      </c>
      <c r="K96" s="133"/>
      <c r="L96" s="63"/>
      <c r="M96" s="63"/>
      <c r="N96" s="63"/>
      <c r="O96" s="63"/>
      <c r="P96" s="63"/>
      <c r="Q96" s="63">
        <f t="shared" si="9"/>
        <v>186.91</v>
      </c>
      <c r="R96" s="63">
        <f t="shared" si="10"/>
        <v>0</v>
      </c>
      <c r="S96" s="63">
        <f t="shared" si="11"/>
        <v>186.91</v>
      </c>
    </row>
    <row r="97" spans="1:19" x14ac:dyDescent="0.2">
      <c r="A97" s="85">
        <v>122615</v>
      </c>
      <c r="B97" s="85" t="s">
        <v>6101</v>
      </c>
      <c r="C97" s="76">
        <v>60</v>
      </c>
      <c r="D97" s="86" t="s">
        <v>6102</v>
      </c>
      <c r="E97" s="85" t="s">
        <v>19</v>
      </c>
      <c r="F97" s="87">
        <v>42419</v>
      </c>
      <c r="G97" s="83">
        <f>309.1</f>
        <v>309.10000000000002</v>
      </c>
      <c r="K97" s="133"/>
      <c r="L97" s="63"/>
      <c r="M97" s="63"/>
      <c r="N97" s="63"/>
      <c r="O97" s="63"/>
      <c r="P97" s="63"/>
      <c r="Q97" s="63">
        <f t="shared" si="9"/>
        <v>309.10000000000002</v>
      </c>
      <c r="R97" s="63">
        <f t="shared" si="10"/>
        <v>0</v>
      </c>
      <c r="S97" s="63">
        <f t="shared" si="11"/>
        <v>309.10000000000002</v>
      </c>
    </row>
    <row r="98" spans="1:19" x14ac:dyDescent="0.2">
      <c r="A98" s="85">
        <v>129463</v>
      </c>
      <c r="B98" s="85" t="s">
        <v>6103</v>
      </c>
      <c r="C98" s="76">
        <v>61</v>
      </c>
      <c r="D98" s="86" t="s">
        <v>6104</v>
      </c>
      <c r="E98" s="85" t="s">
        <v>19</v>
      </c>
      <c r="F98" s="87">
        <v>42421</v>
      </c>
      <c r="G98" s="83">
        <f>48</f>
        <v>48</v>
      </c>
      <c r="K98" s="133"/>
      <c r="L98" s="63"/>
      <c r="M98" s="63"/>
      <c r="N98" s="63"/>
      <c r="O98" s="63"/>
      <c r="P98" s="63"/>
      <c r="Q98" s="63">
        <f t="shared" si="9"/>
        <v>48</v>
      </c>
      <c r="R98" s="63">
        <f t="shared" si="10"/>
        <v>0</v>
      </c>
      <c r="S98" s="63">
        <f t="shared" si="11"/>
        <v>48</v>
      </c>
    </row>
    <row r="99" spans="1:19" x14ac:dyDescent="0.2">
      <c r="A99" s="85">
        <v>129463</v>
      </c>
      <c r="B99" s="85" t="s">
        <v>6103</v>
      </c>
      <c r="C99" s="76">
        <v>61</v>
      </c>
      <c r="D99" s="86" t="s">
        <v>6105</v>
      </c>
      <c r="E99" s="85" t="s">
        <v>19</v>
      </c>
      <c r="F99" s="87">
        <v>42421</v>
      </c>
      <c r="G99" s="83">
        <f>222.5</f>
        <v>222.5</v>
      </c>
      <c r="K99" s="133"/>
      <c r="L99" s="63"/>
      <c r="M99" s="63"/>
      <c r="N99" s="63"/>
      <c r="O99" s="63"/>
      <c r="P99" s="63"/>
      <c r="Q99" s="63">
        <f t="shared" si="9"/>
        <v>222.5</v>
      </c>
      <c r="R99" s="63">
        <f t="shared" si="10"/>
        <v>0</v>
      </c>
      <c r="S99" s="63">
        <f t="shared" si="11"/>
        <v>222.5</v>
      </c>
    </row>
    <row r="100" spans="1:19" x14ac:dyDescent="0.2">
      <c r="A100" s="85">
        <v>129463</v>
      </c>
      <c r="B100" s="85" t="s">
        <v>6103</v>
      </c>
      <c r="C100" s="76">
        <v>61</v>
      </c>
      <c r="D100" s="86" t="s">
        <v>6106</v>
      </c>
      <c r="E100" s="85" t="s">
        <v>19</v>
      </c>
      <c r="F100" s="87">
        <v>42421</v>
      </c>
      <c r="G100" s="83">
        <f>416.4+41.3</f>
        <v>457.7</v>
      </c>
      <c r="K100" s="133"/>
      <c r="L100" s="63"/>
      <c r="M100" s="63"/>
      <c r="N100" s="63"/>
      <c r="O100" s="63"/>
      <c r="P100" s="63"/>
      <c r="Q100" s="63">
        <f t="shared" si="9"/>
        <v>457.7</v>
      </c>
      <c r="R100" s="63">
        <f t="shared" si="10"/>
        <v>0</v>
      </c>
      <c r="S100" s="63">
        <f t="shared" si="11"/>
        <v>457.7</v>
      </c>
    </row>
    <row r="101" spans="1:19" x14ac:dyDescent="0.2">
      <c r="A101" s="85">
        <v>129463</v>
      </c>
      <c r="B101" s="85" t="s">
        <v>6103</v>
      </c>
      <c r="C101" s="76">
        <v>61</v>
      </c>
      <c r="D101" s="86" t="s">
        <v>6107</v>
      </c>
      <c r="E101" s="85" t="s">
        <v>19</v>
      </c>
      <c r="F101" s="87">
        <v>42421</v>
      </c>
      <c r="G101" s="83">
        <f>199+118.66+257.59+129.87</f>
        <v>705.12</v>
      </c>
      <c r="K101" s="133"/>
      <c r="L101" s="63"/>
      <c r="M101" s="63"/>
      <c r="N101" s="63"/>
      <c r="O101" s="63"/>
      <c r="P101" s="63"/>
      <c r="Q101" s="63">
        <f t="shared" si="9"/>
        <v>705.12</v>
      </c>
      <c r="R101" s="63">
        <f t="shared" si="10"/>
        <v>0</v>
      </c>
      <c r="S101" s="63">
        <f t="shared" si="11"/>
        <v>705.12</v>
      </c>
    </row>
    <row r="102" spans="1:19" x14ac:dyDescent="0.2">
      <c r="A102" s="85">
        <v>117780</v>
      </c>
      <c r="B102" s="85" t="s">
        <v>6108</v>
      </c>
      <c r="C102" s="76">
        <v>62</v>
      </c>
      <c r="D102" s="86" t="s">
        <v>6109</v>
      </c>
      <c r="E102" s="85" t="s">
        <v>19</v>
      </c>
      <c r="F102" s="87">
        <v>42421</v>
      </c>
      <c r="G102" s="83">
        <f>147.9</f>
        <v>147.9</v>
      </c>
      <c r="K102" s="133"/>
      <c r="L102" s="63"/>
      <c r="M102" s="63"/>
      <c r="N102" s="63"/>
      <c r="O102" s="63"/>
      <c r="P102" s="63"/>
      <c r="Q102" s="63">
        <f t="shared" si="9"/>
        <v>147.9</v>
      </c>
      <c r="R102" s="63">
        <f t="shared" si="10"/>
        <v>0</v>
      </c>
      <c r="S102" s="63">
        <f t="shared" si="11"/>
        <v>147.9</v>
      </c>
    </row>
    <row r="103" spans="1:19" x14ac:dyDescent="0.2">
      <c r="A103" s="85">
        <v>117780</v>
      </c>
      <c r="B103" s="85" t="s">
        <v>6108</v>
      </c>
      <c r="C103" s="76">
        <v>62</v>
      </c>
      <c r="D103" s="86" t="s">
        <v>6110</v>
      </c>
      <c r="E103" s="85" t="s">
        <v>19</v>
      </c>
      <c r="F103" s="87">
        <v>42421</v>
      </c>
      <c r="G103" s="83">
        <f>113.6</f>
        <v>113.6</v>
      </c>
      <c r="K103" s="133"/>
      <c r="L103" s="63"/>
      <c r="M103" s="63"/>
      <c r="N103" s="63"/>
      <c r="O103" s="63"/>
      <c r="P103" s="63"/>
      <c r="Q103" s="63">
        <f t="shared" si="9"/>
        <v>113.6</v>
      </c>
      <c r="R103" s="63">
        <f t="shared" si="10"/>
        <v>0</v>
      </c>
      <c r="S103" s="63">
        <f t="shared" si="11"/>
        <v>113.6</v>
      </c>
    </row>
    <row r="104" spans="1:19" x14ac:dyDescent="0.2">
      <c r="A104" s="85">
        <v>117780</v>
      </c>
      <c r="B104" s="85" t="s">
        <v>6108</v>
      </c>
      <c r="C104" s="76">
        <v>62</v>
      </c>
      <c r="D104" s="86" t="s">
        <v>6111</v>
      </c>
      <c r="E104" s="85" t="s">
        <v>19</v>
      </c>
      <c r="F104" s="87">
        <v>42421</v>
      </c>
      <c r="G104" s="83">
        <f>50.5</f>
        <v>50.5</v>
      </c>
      <c r="K104" s="133"/>
      <c r="L104" s="63"/>
      <c r="M104" s="63"/>
      <c r="N104" s="63"/>
      <c r="O104" s="63"/>
      <c r="P104" s="63"/>
      <c r="Q104" s="63">
        <f t="shared" si="9"/>
        <v>50.5</v>
      </c>
      <c r="R104" s="63">
        <f t="shared" si="10"/>
        <v>0</v>
      </c>
      <c r="S104" s="63">
        <f t="shared" si="11"/>
        <v>50.5</v>
      </c>
    </row>
    <row r="105" spans="1:19" x14ac:dyDescent="0.2">
      <c r="A105" s="85">
        <v>118317</v>
      </c>
      <c r="B105" s="85" t="s">
        <v>1740</v>
      </c>
      <c r="C105" s="76">
        <v>63</v>
      </c>
      <c r="D105" s="86" t="s">
        <v>6112</v>
      </c>
      <c r="E105" s="85" t="s">
        <v>19</v>
      </c>
      <c r="F105" s="87">
        <v>42422</v>
      </c>
      <c r="G105" s="83">
        <f>500+240+300+25+109.74+2236.1+388.16</f>
        <v>3799</v>
      </c>
      <c r="I105" s="63">
        <f>750+1500</f>
        <v>2250</v>
      </c>
      <c r="K105" s="133"/>
      <c r="L105" s="63"/>
      <c r="M105" s="63"/>
      <c r="N105" s="63"/>
      <c r="O105" s="63"/>
      <c r="P105" s="63"/>
      <c r="Q105" s="63">
        <f t="shared" si="9"/>
        <v>6049</v>
      </c>
      <c r="R105" s="63">
        <f t="shared" si="10"/>
        <v>0</v>
      </c>
      <c r="S105" s="63">
        <f t="shared" si="11"/>
        <v>6049</v>
      </c>
    </row>
    <row r="106" spans="1:19" x14ac:dyDescent="0.2">
      <c r="A106" s="85">
        <v>122577</v>
      </c>
      <c r="B106" s="85" t="s">
        <v>6115</v>
      </c>
      <c r="C106" s="76">
        <v>64</v>
      </c>
      <c r="D106" s="86" t="s">
        <v>6116</v>
      </c>
      <c r="E106" s="85" t="s">
        <v>19</v>
      </c>
      <c r="F106" s="87">
        <v>42425</v>
      </c>
      <c r="G106" s="83">
        <f>205.5</f>
        <v>205.5</v>
      </c>
      <c r="K106" s="133"/>
      <c r="L106" s="63"/>
      <c r="M106" s="63"/>
      <c r="N106" s="63"/>
      <c r="O106" s="63"/>
      <c r="P106" s="63"/>
      <c r="Q106" s="63">
        <f t="shared" si="9"/>
        <v>205.5</v>
      </c>
      <c r="R106" s="63">
        <f t="shared" si="10"/>
        <v>0</v>
      </c>
      <c r="S106" s="63">
        <f t="shared" si="11"/>
        <v>205.5</v>
      </c>
    </row>
    <row r="107" spans="1:19" x14ac:dyDescent="0.2">
      <c r="A107" s="85">
        <v>123613</v>
      </c>
      <c r="B107" s="85" t="s">
        <v>6117</v>
      </c>
      <c r="C107" s="76">
        <v>65</v>
      </c>
      <c r="D107" s="86" t="s">
        <v>6118</v>
      </c>
      <c r="E107" s="85" t="s">
        <v>19</v>
      </c>
      <c r="F107" s="87">
        <v>42425</v>
      </c>
      <c r="G107" s="83">
        <f>41.3+151.05</f>
        <v>192.35000000000002</v>
      </c>
      <c r="K107" s="133"/>
      <c r="L107" s="63"/>
      <c r="M107" s="63"/>
      <c r="N107" s="63"/>
      <c r="O107" s="63"/>
      <c r="P107" s="63"/>
      <c r="Q107" s="63">
        <f t="shared" si="9"/>
        <v>192.35000000000002</v>
      </c>
      <c r="R107" s="63">
        <f t="shared" si="10"/>
        <v>0</v>
      </c>
      <c r="S107" s="63">
        <f t="shared" si="11"/>
        <v>192.35000000000002</v>
      </c>
    </row>
    <row r="108" spans="1:19" x14ac:dyDescent="0.2">
      <c r="A108" s="85">
        <v>114845</v>
      </c>
      <c r="B108" s="68" t="s">
        <v>6119</v>
      </c>
      <c r="C108" s="76">
        <v>66</v>
      </c>
      <c r="D108" s="73" t="s">
        <v>6120</v>
      </c>
      <c r="E108" s="72" t="s">
        <v>19</v>
      </c>
      <c r="F108" s="74">
        <v>42426</v>
      </c>
      <c r="G108" s="83">
        <f>169.6</f>
        <v>169.6</v>
      </c>
      <c r="K108" s="133"/>
      <c r="L108" s="63"/>
      <c r="M108" s="63"/>
      <c r="N108" s="63"/>
      <c r="O108" s="63"/>
      <c r="P108" s="63"/>
      <c r="Q108" s="63">
        <f t="shared" si="9"/>
        <v>169.6</v>
      </c>
      <c r="R108" s="63">
        <f t="shared" si="10"/>
        <v>0</v>
      </c>
      <c r="S108" s="63">
        <f t="shared" si="11"/>
        <v>169.6</v>
      </c>
    </row>
    <row r="109" spans="1:19" x14ac:dyDescent="0.2">
      <c r="A109" s="85">
        <v>130113</v>
      </c>
      <c r="B109" s="68" t="s">
        <v>6121</v>
      </c>
      <c r="C109" s="76">
        <v>67</v>
      </c>
      <c r="D109" s="73" t="s">
        <v>6122</v>
      </c>
      <c r="E109" s="72" t="s">
        <v>19</v>
      </c>
      <c r="F109" s="74">
        <v>42428</v>
      </c>
      <c r="G109" s="83">
        <f>110</f>
        <v>110</v>
      </c>
      <c r="K109" s="133"/>
      <c r="L109" s="63"/>
      <c r="M109" s="63"/>
      <c r="N109" s="63"/>
      <c r="O109" s="63"/>
      <c r="P109" s="63"/>
      <c r="Q109" s="63">
        <f t="shared" si="9"/>
        <v>110</v>
      </c>
      <c r="R109" s="63">
        <f t="shared" si="10"/>
        <v>0</v>
      </c>
      <c r="S109" s="63">
        <f t="shared" si="11"/>
        <v>110</v>
      </c>
    </row>
    <row r="110" spans="1:19" x14ac:dyDescent="0.2">
      <c r="A110" s="85">
        <v>106605</v>
      </c>
      <c r="B110" s="68" t="s">
        <v>6123</v>
      </c>
      <c r="C110" s="76">
        <v>68</v>
      </c>
      <c r="D110" s="73" t="s">
        <v>6124</v>
      </c>
      <c r="E110" s="72" t="s">
        <v>19</v>
      </c>
      <c r="F110" s="74">
        <v>42428</v>
      </c>
      <c r="G110" s="83">
        <f>218+300+708+170.78+2457.8+175</f>
        <v>4029.58</v>
      </c>
      <c r="I110" s="63">
        <f>650+375</f>
        <v>1025</v>
      </c>
      <c r="K110" s="133"/>
      <c r="L110" s="63"/>
      <c r="M110" s="63"/>
      <c r="N110" s="63"/>
      <c r="O110" s="63"/>
      <c r="P110" s="63"/>
      <c r="Q110" s="63">
        <f t="shared" si="9"/>
        <v>5054.58</v>
      </c>
      <c r="R110" s="63">
        <f t="shared" si="10"/>
        <v>0</v>
      </c>
      <c r="S110" s="63">
        <f t="shared" si="11"/>
        <v>5054.58</v>
      </c>
    </row>
    <row r="111" spans="1:19" x14ac:dyDescent="0.2">
      <c r="A111" s="85">
        <v>131711</v>
      </c>
      <c r="B111" s="68" t="s">
        <v>6125</v>
      </c>
      <c r="C111" s="76">
        <v>69</v>
      </c>
      <c r="D111" s="73" t="s">
        <v>6126</v>
      </c>
      <c r="E111" s="72" t="s">
        <v>19</v>
      </c>
      <c r="F111" s="74">
        <v>42429</v>
      </c>
      <c r="G111" s="83"/>
      <c r="K111" s="133"/>
      <c r="L111" s="63"/>
      <c r="M111" s="63"/>
      <c r="N111" s="63"/>
      <c r="O111" s="63"/>
      <c r="P111" s="63"/>
      <c r="Q111" s="63">
        <f t="shared" si="9"/>
        <v>0</v>
      </c>
      <c r="R111" s="63">
        <f t="shared" si="10"/>
        <v>0</v>
      </c>
      <c r="S111" s="63">
        <f t="shared" si="11"/>
        <v>0</v>
      </c>
    </row>
    <row r="112" spans="1:19" x14ac:dyDescent="0.2">
      <c r="A112" s="68">
        <v>127699</v>
      </c>
      <c r="B112" s="68" t="s">
        <v>6127</v>
      </c>
      <c r="C112" s="76">
        <v>70</v>
      </c>
      <c r="D112" s="72" t="s">
        <v>6169</v>
      </c>
      <c r="E112" s="68" t="s">
        <v>19</v>
      </c>
      <c r="F112" s="74">
        <v>42430</v>
      </c>
      <c r="G112" s="83">
        <f>320+84.65+292.64</f>
        <v>697.29</v>
      </c>
      <c r="K112" s="133"/>
      <c r="L112" s="63"/>
      <c r="M112" s="63"/>
      <c r="N112" s="63"/>
      <c r="O112" s="63"/>
      <c r="P112" s="63"/>
      <c r="Q112" s="63">
        <f t="shared" si="9"/>
        <v>697.29</v>
      </c>
      <c r="R112" s="63">
        <f t="shared" si="10"/>
        <v>0</v>
      </c>
      <c r="S112" s="63">
        <f t="shared" si="11"/>
        <v>697.29</v>
      </c>
    </row>
    <row r="113" spans="1:19" x14ac:dyDescent="0.2">
      <c r="A113" s="68">
        <v>129019</v>
      </c>
      <c r="B113" s="68" t="s">
        <v>6128</v>
      </c>
      <c r="C113" s="76">
        <v>71</v>
      </c>
      <c r="D113" s="72" t="s">
        <v>6170</v>
      </c>
      <c r="E113" s="68" t="s">
        <v>19</v>
      </c>
      <c r="F113" s="74">
        <v>42431</v>
      </c>
      <c r="G113" s="83">
        <f>152.1</f>
        <v>152.1</v>
      </c>
      <c r="K113" s="133"/>
      <c r="L113" s="63"/>
      <c r="M113" s="63"/>
      <c r="N113" s="63"/>
      <c r="O113" s="63"/>
      <c r="P113" s="63"/>
      <c r="Q113" s="63">
        <f t="shared" si="9"/>
        <v>152.1</v>
      </c>
      <c r="R113" s="63">
        <f t="shared" si="10"/>
        <v>0</v>
      </c>
      <c r="S113" s="63">
        <f t="shared" si="11"/>
        <v>152.1</v>
      </c>
    </row>
    <row r="114" spans="1:19" x14ac:dyDescent="0.2">
      <c r="A114" s="68">
        <v>127217</v>
      </c>
      <c r="B114" s="68" t="s">
        <v>5469</v>
      </c>
      <c r="C114" s="76">
        <v>72</v>
      </c>
      <c r="D114" s="72" t="s">
        <v>6171</v>
      </c>
      <c r="E114" s="68" t="s">
        <v>19</v>
      </c>
      <c r="F114" s="74">
        <v>42431</v>
      </c>
      <c r="G114" s="83">
        <f>227.79+11340.22+103+41.3+342.09+80.33+41.3+481.3+80.33+41.3+41.3+327.3+261.3+41.3+41.3</f>
        <v>13491.459999999994</v>
      </c>
      <c r="I114" s="63">
        <f>3950</f>
        <v>3950</v>
      </c>
      <c r="K114" s="133"/>
      <c r="L114" s="63"/>
      <c r="M114" s="63"/>
      <c r="N114" s="63"/>
      <c r="O114" s="63"/>
      <c r="P114" s="63"/>
      <c r="Q114" s="63">
        <f t="shared" si="9"/>
        <v>17441.459999999992</v>
      </c>
      <c r="R114" s="63">
        <f t="shared" si="10"/>
        <v>0</v>
      </c>
      <c r="S114" s="63">
        <f t="shared" si="11"/>
        <v>17441.459999999992</v>
      </c>
    </row>
    <row r="115" spans="1:19" x14ac:dyDescent="0.2">
      <c r="A115" s="68">
        <v>127609</v>
      </c>
      <c r="B115" s="68" t="s">
        <v>6129</v>
      </c>
      <c r="C115" s="76">
        <v>73</v>
      </c>
      <c r="D115" s="72" t="s">
        <v>6172</v>
      </c>
      <c r="E115" s="68" t="s">
        <v>19</v>
      </c>
      <c r="F115" s="74">
        <v>42431</v>
      </c>
      <c r="G115" s="83">
        <f>188.62</f>
        <v>188.62</v>
      </c>
      <c r="K115" s="133"/>
      <c r="L115" s="63"/>
      <c r="M115" s="63"/>
      <c r="N115" s="63"/>
      <c r="O115" s="63"/>
      <c r="P115" s="63"/>
      <c r="Q115" s="63">
        <f t="shared" si="9"/>
        <v>188.62</v>
      </c>
      <c r="R115" s="63">
        <f t="shared" si="10"/>
        <v>0</v>
      </c>
      <c r="S115" s="63">
        <f t="shared" si="11"/>
        <v>188.62</v>
      </c>
    </row>
    <row r="116" spans="1:19" x14ac:dyDescent="0.2">
      <c r="A116" s="68">
        <v>127609</v>
      </c>
      <c r="B116" s="68" t="s">
        <v>6129</v>
      </c>
      <c r="C116" s="76">
        <v>73</v>
      </c>
      <c r="D116" s="72" t="s">
        <v>6173</v>
      </c>
      <c r="E116" s="68" t="s">
        <v>19</v>
      </c>
      <c r="F116" s="74">
        <v>42431</v>
      </c>
      <c r="G116" s="83">
        <f>97.13</f>
        <v>97.13</v>
      </c>
      <c r="K116" s="133"/>
      <c r="L116" s="63"/>
      <c r="M116" s="63"/>
      <c r="N116" s="63"/>
      <c r="O116" s="63"/>
      <c r="P116" s="63"/>
      <c r="Q116" s="63">
        <f t="shared" si="9"/>
        <v>97.13</v>
      </c>
      <c r="R116" s="63">
        <f t="shared" si="10"/>
        <v>0</v>
      </c>
      <c r="S116" s="63">
        <f t="shared" si="11"/>
        <v>97.13</v>
      </c>
    </row>
    <row r="117" spans="1:19" x14ac:dyDescent="0.2">
      <c r="A117" s="68">
        <v>127609</v>
      </c>
      <c r="B117" s="68" t="s">
        <v>6129</v>
      </c>
      <c r="C117" s="76">
        <v>73</v>
      </c>
      <c r="D117" s="72" t="s">
        <v>6174</v>
      </c>
      <c r="E117" s="68" t="s">
        <v>19</v>
      </c>
      <c r="F117" s="74">
        <v>42431</v>
      </c>
      <c r="G117" s="83">
        <f>125.93</f>
        <v>125.93</v>
      </c>
      <c r="K117" s="133"/>
      <c r="L117" s="63"/>
      <c r="M117" s="63"/>
      <c r="N117" s="63"/>
      <c r="O117" s="63"/>
      <c r="P117" s="63"/>
      <c r="Q117" s="63">
        <f t="shared" si="9"/>
        <v>125.93</v>
      </c>
      <c r="R117" s="63">
        <f t="shared" si="10"/>
        <v>0</v>
      </c>
      <c r="S117" s="63">
        <f t="shared" si="11"/>
        <v>125.93</v>
      </c>
    </row>
    <row r="118" spans="1:19" x14ac:dyDescent="0.2">
      <c r="A118" s="68">
        <v>127609</v>
      </c>
      <c r="B118" s="68" t="s">
        <v>6129</v>
      </c>
      <c r="C118" s="76">
        <v>73</v>
      </c>
      <c r="D118" s="72" t="s">
        <v>6175</v>
      </c>
      <c r="E118" s="68" t="s">
        <v>19</v>
      </c>
      <c r="F118" s="74">
        <v>42431</v>
      </c>
      <c r="G118" s="83">
        <f>116.23</f>
        <v>116.23</v>
      </c>
      <c r="K118" s="133"/>
      <c r="L118" s="63"/>
      <c r="M118" s="63"/>
      <c r="N118" s="63"/>
      <c r="O118" s="63"/>
      <c r="P118" s="63"/>
      <c r="Q118" s="63">
        <f t="shared" si="9"/>
        <v>116.23</v>
      </c>
      <c r="R118" s="63">
        <f t="shared" si="10"/>
        <v>0</v>
      </c>
      <c r="S118" s="63">
        <f t="shared" si="11"/>
        <v>116.23</v>
      </c>
    </row>
    <row r="119" spans="1:19" x14ac:dyDescent="0.2">
      <c r="A119" s="68">
        <v>124843</v>
      </c>
      <c r="B119" s="68" t="s">
        <v>6130</v>
      </c>
      <c r="C119" s="76">
        <v>74</v>
      </c>
      <c r="D119" s="72" t="s">
        <v>6176</v>
      </c>
      <c r="E119" s="68" t="s">
        <v>19</v>
      </c>
      <c r="F119" s="74">
        <v>42432</v>
      </c>
      <c r="G119" s="83">
        <f>239.33</f>
        <v>239.33</v>
      </c>
      <c r="K119" s="133"/>
      <c r="L119" s="63"/>
      <c r="M119" s="63"/>
      <c r="N119" s="63"/>
      <c r="O119" s="63"/>
      <c r="P119" s="63"/>
      <c r="Q119" s="63">
        <f t="shared" si="9"/>
        <v>239.33</v>
      </c>
      <c r="R119" s="63">
        <f t="shared" si="10"/>
        <v>0</v>
      </c>
      <c r="S119" s="63">
        <f t="shared" si="11"/>
        <v>239.33</v>
      </c>
    </row>
    <row r="120" spans="1:19" x14ac:dyDescent="0.2">
      <c r="A120" s="68">
        <v>124843</v>
      </c>
      <c r="B120" s="68" t="s">
        <v>6130</v>
      </c>
      <c r="C120" s="76">
        <v>74</v>
      </c>
      <c r="D120" s="72" t="s">
        <v>6177</v>
      </c>
      <c r="E120" s="68" t="s">
        <v>19</v>
      </c>
      <c r="F120" s="74">
        <v>42432</v>
      </c>
      <c r="G120" s="83">
        <f>226.76</f>
        <v>226.76</v>
      </c>
      <c r="K120" s="133"/>
      <c r="L120" s="63"/>
      <c r="M120" s="63"/>
      <c r="N120" s="63"/>
      <c r="O120" s="63"/>
      <c r="P120" s="63"/>
      <c r="Q120" s="63">
        <f t="shared" si="9"/>
        <v>226.76</v>
      </c>
      <c r="R120" s="63">
        <f t="shared" si="10"/>
        <v>0</v>
      </c>
      <c r="S120" s="63">
        <f t="shared" si="11"/>
        <v>226.76</v>
      </c>
    </row>
    <row r="121" spans="1:19" x14ac:dyDescent="0.2">
      <c r="A121" s="68">
        <v>124843</v>
      </c>
      <c r="B121" s="68" t="s">
        <v>6130</v>
      </c>
      <c r="C121" s="76">
        <v>74</v>
      </c>
      <c r="D121" s="72" t="s">
        <v>6178</v>
      </c>
      <c r="E121" s="68" t="s">
        <v>19</v>
      </c>
      <c r="F121" s="74">
        <v>42432</v>
      </c>
      <c r="G121" s="83">
        <f>535.92</f>
        <v>535.91999999999996</v>
      </c>
      <c r="K121" s="133"/>
      <c r="L121" s="63"/>
      <c r="M121" s="63"/>
      <c r="N121" s="63"/>
      <c r="O121" s="63"/>
      <c r="P121" s="63"/>
      <c r="Q121" s="63">
        <f t="shared" si="9"/>
        <v>535.91999999999996</v>
      </c>
      <c r="R121" s="63">
        <f t="shared" si="10"/>
        <v>0</v>
      </c>
      <c r="S121" s="63">
        <f t="shared" si="11"/>
        <v>535.91999999999996</v>
      </c>
    </row>
    <row r="122" spans="1:19" x14ac:dyDescent="0.2">
      <c r="A122" s="68">
        <v>124843</v>
      </c>
      <c r="B122" s="68" t="s">
        <v>6130</v>
      </c>
      <c r="C122" s="76">
        <v>74</v>
      </c>
      <c r="D122" s="72" t="s">
        <v>6179</v>
      </c>
      <c r="E122" s="68" t="s">
        <v>19</v>
      </c>
      <c r="F122" s="74">
        <v>42432</v>
      </c>
      <c r="G122" s="83">
        <f>156.94</f>
        <v>156.94</v>
      </c>
      <c r="K122" s="133"/>
      <c r="L122" s="63"/>
      <c r="M122" s="63"/>
      <c r="N122" s="63"/>
      <c r="O122" s="63"/>
      <c r="P122" s="63"/>
      <c r="Q122" s="63">
        <f t="shared" si="9"/>
        <v>156.94</v>
      </c>
      <c r="R122" s="63">
        <f t="shared" si="10"/>
        <v>0</v>
      </c>
      <c r="S122" s="63">
        <f t="shared" si="11"/>
        <v>156.94</v>
      </c>
    </row>
    <row r="123" spans="1:19" x14ac:dyDescent="0.2">
      <c r="A123" s="68">
        <v>133002</v>
      </c>
      <c r="B123" s="68" t="s">
        <v>6131</v>
      </c>
      <c r="C123" s="76">
        <v>75</v>
      </c>
      <c r="D123" s="72" t="s">
        <v>6180</v>
      </c>
      <c r="E123" s="68" t="s">
        <v>19</v>
      </c>
      <c r="F123" s="74">
        <v>42433</v>
      </c>
      <c r="G123" s="83">
        <f>293.2+183.1+101.24</f>
        <v>577.54</v>
      </c>
      <c r="K123" s="133"/>
      <c r="L123" s="63"/>
      <c r="M123" s="63"/>
      <c r="N123" s="63"/>
      <c r="O123" s="63"/>
      <c r="P123" s="63"/>
      <c r="Q123" s="63">
        <f t="shared" si="9"/>
        <v>577.54</v>
      </c>
      <c r="R123" s="63">
        <f t="shared" si="10"/>
        <v>0</v>
      </c>
      <c r="S123" s="63">
        <f t="shared" si="11"/>
        <v>577.54</v>
      </c>
    </row>
    <row r="124" spans="1:19" x14ac:dyDescent="0.2">
      <c r="A124" s="68">
        <v>125680</v>
      </c>
      <c r="B124" s="68" t="s">
        <v>6132</v>
      </c>
      <c r="C124" s="76">
        <v>76</v>
      </c>
      <c r="D124" s="72" t="s">
        <v>6181</v>
      </c>
      <c r="E124" s="68" t="s">
        <v>4064</v>
      </c>
      <c r="F124" s="74">
        <v>42433</v>
      </c>
      <c r="G124" s="83">
        <f>3809.5+1271.9+2590</f>
        <v>7671.4</v>
      </c>
      <c r="I124" s="63">
        <f>1700</f>
        <v>1700</v>
      </c>
      <c r="K124" s="133"/>
      <c r="L124" s="63"/>
      <c r="M124" s="63"/>
      <c r="N124" s="63"/>
      <c r="O124" s="63"/>
      <c r="P124" s="63"/>
      <c r="Q124" s="63">
        <f t="shared" si="9"/>
        <v>9371.4</v>
      </c>
      <c r="R124" s="63">
        <f t="shared" si="10"/>
        <v>0</v>
      </c>
      <c r="S124" s="63">
        <f t="shared" si="11"/>
        <v>9371.4</v>
      </c>
    </row>
    <row r="125" spans="1:19" x14ac:dyDescent="0.2">
      <c r="A125" s="68">
        <v>125680</v>
      </c>
      <c r="B125" s="68" t="s">
        <v>6132</v>
      </c>
      <c r="C125" s="76">
        <v>76</v>
      </c>
      <c r="D125" s="72" t="s">
        <v>6182</v>
      </c>
      <c r="E125" s="68" t="s">
        <v>4064</v>
      </c>
      <c r="F125" s="74">
        <v>42433</v>
      </c>
      <c r="G125" s="83">
        <f>670+139.5</f>
        <v>809.5</v>
      </c>
      <c r="K125" s="133"/>
      <c r="L125" s="63"/>
      <c r="M125" s="63"/>
      <c r="N125" s="63"/>
      <c r="O125" s="63"/>
      <c r="P125" s="63"/>
      <c r="Q125" s="63">
        <f t="shared" si="9"/>
        <v>809.5</v>
      </c>
      <c r="R125" s="63">
        <f t="shared" si="10"/>
        <v>0</v>
      </c>
      <c r="S125" s="63">
        <f t="shared" si="11"/>
        <v>809.5</v>
      </c>
    </row>
    <row r="126" spans="1:19" x14ac:dyDescent="0.2">
      <c r="A126" s="68">
        <v>132813</v>
      </c>
      <c r="B126" s="68" t="s">
        <v>6133</v>
      </c>
      <c r="C126" s="76">
        <v>77</v>
      </c>
      <c r="D126" s="72" t="s">
        <v>6183</v>
      </c>
      <c r="E126" s="68" t="s">
        <v>19</v>
      </c>
      <c r="F126" s="74">
        <v>42433</v>
      </c>
      <c r="G126" s="83">
        <f>125.97</f>
        <v>125.97</v>
      </c>
      <c r="K126" s="133"/>
      <c r="L126" s="63"/>
      <c r="M126" s="63"/>
      <c r="N126" s="63"/>
      <c r="O126" s="63"/>
      <c r="P126" s="63"/>
      <c r="Q126" s="63">
        <f t="shared" si="9"/>
        <v>125.97</v>
      </c>
      <c r="R126" s="63">
        <f t="shared" si="10"/>
        <v>0</v>
      </c>
      <c r="S126" s="63">
        <f t="shared" si="11"/>
        <v>125.97</v>
      </c>
    </row>
    <row r="127" spans="1:19" x14ac:dyDescent="0.2">
      <c r="A127" s="68">
        <v>132813</v>
      </c>
      <c r="B127" s="68" t="s">
        <v>6133</v>
      </c>
      <c r="C127" s="76">
        <v>77</v>
      </c>
      <c r="D127" s="72" t="s">
        <v>6184</v>
      </c>
      <c r="E127" s="68" t="s">
        <v>19</v>
      </c>
      <c r="F127" s="74">
        <v>42433</v>
      </c>
      <c r="G127" s="83">
        <f>235.41</f>
        <v>235.41</v>
      </c>
      <c r="K127" s="133"/>
      <c r="L127" s="63"/>
      <c r="M127" s="63"/>
      <c r="N127" s="63"/>
      <c r="O127" s="63"/>
      <c r="P127" s="63"/>
      <c r="Q127" s="63">
        <f t="shared" si="9"/>
        <v>235.41</v>
      </c>
      <c r="R127" s="63">
        <f t="shared" si="10"/>
        <v>0</v>
      </c>
      <c r="S127" s="63">
        <f t="shared" si="11"/>
        <v>235.41</v>
      </c>
    </row>
    <row r="128" spans="1:19" x14ac:dyDescent="0.2">
      <c r="A128" s="68">
        <v>132572</v>
      </c>
      <c r="B128" s="68" t="s">
        <v>6134</v>
      </c>
      <c r="C128" s="76">
        <v>78</v>
      </c>
      <c r="D128" s="72" t="s">
        <v>6185</v>
      </c>
      <c r="E128" s="68" t="s">
        <v>19</v>
      </c>
      <c r="F128" s="74">
        <v>42436</v>
      </c>
      <c r="G128" s="83">
        <f>215.94</f>
        <v>215.94</v>
      </c>
      <c r="K128" s="133"/>
      <c r="L128" s="63"/>
      <c r="M128" s="63"/>
      <c r="N128" s="63"/>
      <c r="O128" s="63"/>
      <c r="P128" s="63"/>
      <c r="Q128" s="63">
        <f t="shared" si="9"/>
        <v>215.94</v>
      </c>
      <c r="R128" s="63">
        <f t="shared" si="10"/>
        <v>0</v>
      </c>
      <c r="S128" s="63">
        <f t="shared" si="11"/>
        <v>215.94</v>
      </c>
    </row>
    <row r="129" spans="1:19" x14ac:dyDescent="0.2">
      <c r="A129" s="68">
        <v>115212</v>
      </c>
      <c r="B129" s="68" t="s">
        <v>6135</v>
      </c>
      <c r="C129" s="76">
        <v>79</v>
      </c>
      <c r="D129" s="72" t="s">
        <v>6186</v>
      </c>
      <c r="E129" s="68" t="s">
        <v>19</v>
      </c>
      <c r="F129" s="74">
        <v>42387</v>
      </c>
      <c r="G129" s="83">
        <f>83</f>
        <v>83</v>
      </c>
      <c r="K129" s="133"/>
      <c r="L129" s="63"/>
      <c r="M129" s="63"/>
      <c r="N129" s="63"/>
      <c r="O129" s="63"/>
      <c r="P129" s="63"/>
      <c r="Q129" s="63">
        <f t="shared" si="9"/>
        <v>83</v>
      </c>
      <c r="R129" s="63">
        <f t="shared" si="10"/>
        <v>0</v>
      </c>
      <c r="S129" s="63">
        <f t="shared" si="11"/>
        <v>83</v>
      </c>
    </row>
    <row r="130" spans="1:19" x14ac:dyDescent="0.2">
      <c r="A130" s="68">
        <v>128650</v>
      </c>
      <c r="B130" s="68" t="s">
        <v>6136</v>
      </c>
      <c r="C130" s="76">
        <v>80</v>
      </c>
      <c r="D130" s="72" t="s">
        <v>6187</v>
      </c>
      <c r="E130" s="68" t="s">
        <v>19</v>
      </c>
      <c r="F130" s="74">
        <v>42437</v>
      </c>
      <c r="G130" s="83">
        <f>136</f>
        <v>136</v>
      </c>
      <c r="K130" s="133"/>
      <c r="L130" s="63"/>
      <c r="M130" s="63"/>
      <c r="N130" s="63"/>
      <c r="O130" s="63"/>
      <c r="P130" s="63"/>
      <c r="Q130" s="63">
        <f t="shared" si="9"/>
        <v>136</v>
      </c>
      <c r="R130" s="63">
        <f t="shared" si="10"/>
        <v>0</v>
      </c>
      <c r="S130" s="63">
        <f t="shared" si="11"/>
        <v>136</v>
      </c>
    </row>
    <row r="131" spans="1:19" x14ac:dyDescent="0.2">
      <c r="A131" s="90">
        <v>131251</v>
      </c>
      <c r="B131" s="90" t="s">
        <v>6137</v>
      </c>
      <c r="C131" s="76">
        <v>81</v>
      </c>
      <c r="D131" s="91" t="s">
        <v>6325</v>
      </c>
      <c r="E131" s="90" t="s">
        <v>4179</v>
      </c>
      <c r="F131" s="92">
        <v>42437</v>
      </c>
      <c r="G131" s="83">
        <f>129.59</f>
        <v>129.59</v>
      </c>
      <c r="K131" s="133"/>
      <c r="L131" s="63"/>
      <c r="M131" s="63"/>
      <c r="N131" s="63"/>
      <c r="O131" s="63"/>
      <c r="P131" s="63"/>
      <c r="Q131" s="63">
        <f t="shared" si="9"/>
        <v>129.59</v>
      </c>
      <c r="R131" s="63">
        <f t="shared" si="10"/>
        <v>0</v>
      </c>
      <c r="S131" s="63">
        <f t="shared" si="11"/>
        <v>129.59</v>
      </c>
    </row>
    <row r="132" spans="1:19" x14ac:dyDescent="0.2">
      <c r="A132" s="90">
        <v>131251</v>
      </c>
      <c r="B132" s="90" t="s">
        <v>6137</v>
      </c>
      <c r="C132" s="76">
        <v>81</v>
      </c>
      <c r="D132" s="91" t="s">
        <v>6188</v>
      </c>
      <c r="E132" s="90" t="s">
        <v>4179</v>
      </c>
      <c r="F132" s="92">
        <v>42437</v>
      </c>
      <c r="G132" s="83">
        <f>356.3+758+460.73+82</f>
        <v>1657.03</v>
      </c>
      <c r="K132" s="133"/>
      <c r="L132" s="63"/>
      <c r="M132" s="63"/>
      <c r="N132" s="63"/>
      <c r="O132" s="63"/>
      <c r="P132" s="63"/>
      <c r="Q132" s="63">
        <f t="shared" si="9"/>
        <v>1657.03</v>
      </c>
      <c r="R132" s="63">
        <f t="shared" si="10"/>
        <v>0</v>
      </c>
      <c r="S132" s="63">
        <f t="shared" si="11"/>
        <v>1657.03</v>
      </c>
    </row>
    <row r="133" spans="1:19" x14ac:dyDescent="0.2">
      <c r="A133" s="68">
        <v>119961</v>
      </c>
      <c r="B133" s="68" t="s">
        <v>6138</v>
      </c>
      <c r="C133" s="76">
        <v>82</v>
      </c>
      <c r="D133" s="72" t="s">
        <v>6189</v>
      </c>
      <c r="E133" s="68" t="s">
        <v>19</v>
      </c>
      <c r="F133" s="74">
        <v>42437</v>
      </c>
      <c r="G133" s="83">
        <f>208.2</f>
        <v>208.2</v>
      </c>
      <c r="K133" s="133"/>
      <c r="L133" s="63"/>
      <c r="M133" s="63"/>
      <c r="N133" s="63"/>
      <c r="O133" s="63"/>
      <c r="P133" s="63"/>
      <c r="Q133" s="63">
        <f t="shared" si="9"/>
        <v>208.2</v>
      </c>
      <c r="R133" s="63">
        <f t="shared" si="10"/>
        <v>0</v>
      </c>
      <c r="S133" s="63">
        <f t="shared" si="11"/>
        <v>208.2</v>
      </c>
    </row>
    <row r="134" spans="1:19" x14ac:dyDescent="0.2">
      <c r="A134" s="68">
        <v>116350</v>
      </c>
      <c r="B134" s="68" t="s">
        <v>6139</v>
      </c>
      <c r="C134" s="76">
        <v>83</v>
      </c>
      <c r="D134" s="72" t="s">
        <v>6190</v>
      </c>
      <c r="E134" s="68" t="s">
        <v>19</v>
      </c>
      <c r="F134" s="74">
        <v>42437</v>
      </c>
      <c r="G134" s="83">
        <f>177.1</f>
        <v>177.1</v>
      </c>
      <c r="K134" s="133"/>
      <c r="L134" s="63"/>
      <c r="M134" s="63"/>
      <c r="N134" s="63"/>
      <c r="O134" s="63"/>
      <c r="P134" s="63"/>
      <c r="Q134" s="63">
        <f t="shared" si="9"/>
        <v>177.1</v>
      </c>
      <c r="R134" s="63">
        <f t="shared" si="10"/>
        <v>0</v>
      </c>
      <c r="S134" s="63">
        <f t="shared" si="11"/>
        <v>177.1</v>
      </c>
    </row>
    <row r="135" spans="1:19" x14ac:dyDescent="0.2">
      <c r="A135" s="68">
        <v>124954</v>
      </c>
      <c r="B135" s="68" t="s">
        <v>6140</v>
      </c>
      <c r="C135" s="76">
        <v>84</v>
      </c>
      <c r="D135" s="72" t="s">
        <v>6191</v>
      </c>
      <c r="E135" s="68" t="s">
        <v>19</v>
      </c>
      <c r="F135" s="74">
        <v>42435</v>
      </c>
      <c r="G135" s="83">
        <f>263.03</f>
        <v>263.02999999999997</v>
      </c>
      <c r="K135" s="133"/>
      <c r="L135" s="63"/>
      <c r="M135" s="63"/>
      <c r="N135" s="63"/>
      <c r="O135" s="63"/>
      <c r="P135" s="63"/>
      <c r="Q135" s="63">
        <f t="shared" si="9"/>
        <v>263.02999999999997</v>
      </c>
      <c r="R135" s="63">
        <f t="shared" si="10"/>
        <v>0</v>
      </c>
      <c r="S135" s="63">
        <f t="shared" si="11"/>
        <v>263.02999999999997</v>
      </c>
    </row>
    <row r="136" spans="1:19" x14ac:dyDescent="0.2">
      <c r="A136" s="68">
        <v>126881</v>
      </c>
      <c r="B136" s="68" t="s">
        <v>6141</v>
      </c>
      <c r="C136" s="76">
        <v>85</v>
      </c>
      <c r="D136" s="72" t="s">
        <v>6192</v>
      </c>
      <c r="E136" s="68" t="s">
        <v>19</v>
      </c>
      <c r="F136" s="74">
        <v>42438</v>
      </c>
      <c r="G136" s="83">
        <f>48</f>
        <v>48</v>
      </c>
      <c r="K136" s="133"/>
      <c r="L136" s="63"/>
      <c r="M136" s="63"/>
      <c r="N136" s="63"/>
      <c r="O136" s="63"/>
      <c r="P136" s="63"/>
      <c r="Q136" s="63">
        <f t="shared" si="9"/>
        <v>48</v>
      </c>
      <c r="R136" s="63">
        <f t="shared" si="10"/>
        <v>0</v>
      </c>
      <c r="S136" s="63">
        <f t="shared" si="11"/>
        <v>48</v>
      </c>
    </row>
    <row r="137" spans="1:19" x14ac:dyDescent="0.2">
      <c r="A137" s="68">
        <v>128394</v>
      </c>
      <c r="B137" s="68" t="s">
        <v>6142</v>
      </c>
      <c r="C137" s="76">
        <v>86</v>
      </c>
      <c r="D137" s="72" t="s">
        <v>6193</v>
      </c>
      <c r="E137" s="68" t="s">
        <v>19</v>
      </c>
      <c r="F137" s="74">
        <v>42438</v>
      </c>
      <c r="G137" s="83">
        <f>338</f>
        <v>338</v>
      </c>
      <c r="K137" s="133"/>
      <c r="L137" s="63"/>
      <c r="M137" s="63"/>
      <c r="N137" s="63"/>
      <c r="O137" s="63"/>
      <c r="P137" s="63"/>
      <c r="Q137" s="63">
        <f t="shared" si="9"/>
        <v>338</v>
      </c>
      <c r="R137" s="63">
        <f t="shared" si="10"/>
        <v>0</v>
      </c>
      <c r="S137" s="63">
        <f t="shared" si="11"/>
        <v>338</v>
      </c>
    </row>
    <row r="138" spans="1:19" x14ac:dyDescent="0.2">
      <c r="A138" s="68">
        <v>123578</v>
      </c>
      <c r="B138" s="68" t="s">
        <v>6143</v>
      </c>
      <c r="C138" s="76">
        <v>87</v>
      </c>
      <c r="D138" s="72" t="s">
        <v>6194</v>
      </c>
      <c r="E138" s="68" t="s">
        <v>19</v>
      </c>
      <c r="F138" s="74">
        <v>42440</v>
      </c>
      <c r="G138" s="83">
        <f>80.3</f>
        <v>80.3</v>
      </c>
      <c r="K138" s="133"/>
      <c r="L138" s="63"/>
      <c r="M138" s="63"/>
      <c r="N138" s="63"/>
      <c r="O138" s="63"/>
      <c r="P138" s="63"/>
      <c r="Q138" s="63">
        <f t="shared" si="9"/>
        <v>80.3</v>
      </c>
      <c r="R138" s="63">
        <f t="shared" si="10"/>
        <v>0</v>
      </c>
      <c r="S138" s="63">
        <f t="shared" si="11"/>
        <v>80.3</v>
      </c>
    </row>
    <row r="139" spans="1:19" x14ac:dyDescent="0.2">
      <c r="A139" s="68">
        <v>129078</v>
      </c>
      <c r="B139" s="68" t="s">
        <v>6144</v>
      </c>
      <c r="C139" s="76">
        <v>88</v>
      </c>
      <c r="D139" s="72" t="s">
        <v>6195</v>
      </c>
      <c r="E139" s="68" t="s">
        <v>19</v>
      </c>
      <c r="F139" s="74">
        <v>42440</v>
      </c>
      <c r="G139" s="83">
        <f>248.6</f>
        <v>248.6</v>
      </c>
      <c r="K139" s="133"/>
      <c r="L139" s="63"/>
      <c r="M139" s="63"/>
      <c r="N139" s="63"/>
      <c r="O139" s="63"/>
      <c r="P139" s="63"/>
      <c r="Q139" s="63">
        <f t="shared" si="9"/>
        <v>248.6</v>
      </c>
      <c r="R139" s="63">
        <f t="shared" si="10"/>
        <v>0</v>
      </c>
      <c r="S139" s="63">
        <f t="shared" si="11"/>
        <v>248.6</v>
      </c>
    </row>
    <row r="140" spans="1:19" x14ac:dyDescent="0.2">
      <c r="A140" s="68">
        <v>119048</v>
      </c>
      <c r="B140" s="68" t="s">
        <v>6145</v>
      </c>
      <c r="C140" s="76">
        <v>89</v>
      </c>
      <c r="D140" s="72" t="s">
        <v>6196</v>
      </c>
      <c r="E140" s="68" t="s">
        <v>19</v>
      </c>
      <c r="F140" s="74">
        <v>42440</v>
      </c>
      <c r="G140" s="83">
        <f>78.69+217.45</f>
        <v>296.14</v>
      </c>
      <c r="K140" s="133"/>
      <c r="L140" s="63"/>
      <c r="M140" s="63"/>
      <c r="N140" s="63"/>
      <c r="O140" s="63"/>
      <c r="P140" s="63"/>
      <c r="Q140" s="63">
        <f t="shared" si="9"/>
        <v>296.14</v>
      </c>
      <c r="R140" s="63">
        <f t="shared" si="10"/>
        <v>0</v>
      </c>
      <c r="S140" s="63">
        <f t="shared" si="11"/>
        <v>296.14</v>
      </c>
    </row>
    <row r="141" spans="1:19" x14ac:dyDescent="0.2">
      <c r="A141" s="68">
        <v>129352</v>
      </c>
      <c r="B141" s="68" t="s">
        <v>6146</v>
      </c>
      <c r="C141" s="76">
        <v>90</v>
      </c>
      <c r="D141" s="72" t="s">
        <v>6197</v>
      </c>
      <c r="E141" s="68" t="s">
        <v>19</v>
      </c>
      <c r="F141" s="74">
        <v>42440</v>
      </c>
      <c r="G141" s="83">
        <f>720+181.72</f>
        <v>901.72</v>
      </c>
      <c r="K141" s="133"/>
      <c r="L141" s="63"/>
      <c r="M141" s="63"/>
      <c r="N141" s="63"/>
      <c r="O141" s="63"/>
      <c r="P141" s="63"/>
      <c r="Q141" s="63">
        <f t="shared" si="9"/>
        <v>901.72</v>
      </c>
      <c r="R141" s="63">
        <f t="shared" si="10"/>
        <v>0</v>
      </c>
      <c r="S141" s="63">
        <f t="shared" si="11"/>
        <v>901.72</v>
      </c>
    </row>
    <row r="142" spans="1:19" x14ac:dyDescent="0.2">
      <c r="A142" s="68">
        <v>123981</v>
      </c>
      <c r="B142" s="68" t="s">
        <v>6147</v>
      </c>
      <c r="C142" s="76">
        <v>91</v>
      </c>
      <c r="D142" s="72" t="s">
        <v>6198</v>
      </c>
      <c r="E142" s="68" t="s">
        <v>19</v>
      </c>
      <c r="F142" s="74">
        <v>42442</v>
      </c>
      <c r="G142" s="83">
        <f>238+173.6+11+20+19.3</f>
        <v>461.90000000000003</v>
      </c>
      <c r="I142" s="63">
        <v>275</v>
      </c>
      <c r="K142" s="133"/>
      <c r="L142" s="63"/>
      <c r="M142" s="63"/>
      <c r="N142" s="63"/>
      <c r="O142" s="63"/>
      <c r="P142" s="63"/>
      <c r="Q142" s="63">
        <f t="shared" si="9"/>
        <v>736.90000000000009</v>
      </c>
      <c r="R142" s="63">
        <f t="shared" si="10"/>
        <v>0</v>
      </c>
      <c r="S142" s="63">
        <f t="shared" si="11"/>
        <v>736.90000000000009</v>
      </c>
    </row>
    <row r="143" spans="1:19" x14ac:dyDescent="0.2">
      <c r="A143" s="68">
        <v>124331</v>
      </c>
      <c r="B143" s="68" t="s">
        <v>6148</v>
      </c>
      <c r="C143" s="76">
        <v>92</v>
      </c>
      <c r="D143" s="72" t="s">
        <v>6199</v>
      </c>
      <c r="E143" s="68" t="s">
        <v>19</v>
      </c>
      <c r="F143" s="74">
        <v>42443</v>
      </c>
      <c r="G143" s="83">
        <f>9067.31+41.3+41.3+71.65+179.44+71.65+371.3+71.65</f>
        <v>9915.5999999999967</v>
      </c>
      <c r="K143" s="133"/>
      <c r="L143" s="63"/>
      <c r="M143" s="63"/>
      <c r="N143" s="63"/>
      <c r="O143" s="63"/>
      <c r="P143" s="63"/>
      <c r="Q143" s="63">
        <f t="shared" si="9"/>
        <v>9915.5999999999967</v>
      </c>
      <c r="R143" s="63">
        <f t="shared" si="10"/>
        <v>0</v>
      </c>
      <c r="S143" s="63">
        <f t="shared" si="11"/>
        <v>9915.5999999999967</v>
      </c>
    </row>
    <row r="144" spans="1:19" x14ac:dyDescent="0.2">
      <c r="A144" s="68">
        <v>126618</v>
      </c>
      <c r="B144" s="68" t="s">
        <v>6149</v>
      </c>
      <c r="C144" s="76">
        <v>93</v>
      </c>
      <c r="D144" s="72" t="s">
        <v>6200</v>
      </c>
      <c r="E144" s="68" t="s">
        <v>19</v>
      </c>
      <c r="F144" s="74">
        <v>42443</v>
      </c>
      <c r="G144" s="83">
        <f>133.93</f>
        <v>133.93</v>
      </c>
      <c r="K144" s="133"/>
      <c r="L144" s="63"/>
      <c r="M144" s="63"/>
      <c r="N144" s="63"/>
      <c r="O144" s="63"/>
      <c r="P144" s="63"/>
      <c r="Q144" s="63">
        <f t="shared" si="9"/>
        <v>133.93</v>
      </c>
      <c r="R144" s="63">
        <f t="shared" si="10"/>
        <v>0</v>
      </c>
      <c r="S144" s="63">
        <f t="shared" si="11"/>
        <v>133.93</v>
      </c>
    </row>
    <row r="145" spans="1:19" x14ac:dyDescent="0.2">
      <c r="A145" s="68">
        <v>126618</v>
      </c>
      <c r="B145" s="68" t="s">
        <v>6149</v>
      </c>
      <c r="C145" s="76">
        <v>93</v>
      </c>
      <c r="D145" s="72" t="s">
        <v>6201</v>
      </c>
      <c r="E145" s="68" t="s">
        <v>19</v>
      </c>
      <c r="F145" s="74">
        <v>42443</v>
      </c>
      <c r="G145" s="83">
        <f>151.98</f>
        <v>151.97999999999999</v>
      </c>
      <c r="K145" s="133"/>
      <c r="L145" s="63"/>
      <c r="M145" s="63"/>
      <c r="N145" s="63"/>
      <c r="O145" s="63"/>
      <c r="P145" s="63"/>
      <c r="Q145" s="63">
        <f t="shared" si="9"/>
        <v>151.97999999999999</v>
      </c>
      <c r="R145" s="63">
        <f t="shared" si="10"/>
        <v>0</v>
      </c>
      <c r="S145" s="63">
        <f t="shared" si="11"/>
        <v>151.97999999999999</v>
      </c>
    </row>
    <row r="146" spans="1:19" x14ac:dyDescent="0.2">
      <c r="A146" s="68">
        <v>106555</v>
      </c>
      <c r="B146" s="68" t="s">
        <v>6150</v>
      </c>
      <c r="C146" s="76">
        <v>94</v>
      </c>
      <c r="D146" s="72" t="s">
        <v>6202</v>
      </c>
      <c r="E146" s="68" t="s">
        <v>19</v>
      </c>
      <c r="F146" s="74">
        <v>42441</v>
      </c>
      <c r="G146" s="83">
        <f>35</f>
        <v>35</v>
      </c>
      <c r="K146" s="133"/>
      <c r="L146" s="63"/>
      <c r="M146" s="63"/>
      <c r="N146" s="63"/>
      <c r="O146" s="63"/>
      <c r="P146" s="63"/>
      <c r="Q146" s="63">
        <f t="shared" si="9"/>
        <v>35</v>
      </c>
      <c r="R146" s="63">
        <f t="shared" si="10"/>
        <v>0</v>
      </c>
      <c r="S146" s="63">
        <f t="shared" si="11"/>
        <v>35</v>
      </c>
    </row>
    <row r="147" spans="1:19" x14ac:dyDescent="0.2">
      <c r="A147" s="68">
        <v>129318</v>
      </c>
      <c r="B147" s="68" t="s">
        <v>6151</v>
      </c>
      <c r="C147" s="76">
        <v>95</v>
      </c>
      <c r="D147" s="72" t="s">
        <v>6203</v>
      </c>
      <c r="E147" s="68" t="s">
        <v>19</v>
      </c>
      <c r="F147" s="74">
        <v>42444</v>
      </c>
      <c r="G147" s="83"/>
      <c r="K147" s="133"/>
      <c r="L147" s="63"/>
      <c r="M147" s="63"/>
      <c r="N147" s="63"/>
      <c r="O147" s="63"/>
      <c r="P147" s="63"/>
      <c r="Q147" s="63">
        <f t="shared" si="9"/>
        <v>0</v>
      </c>
      <c r="R147" s="63">
        <f t="shared" si="10"/>
        <v>0</v>
      </c>
      <c r="S147" s="63">
        <f t="shared" si="11"/>
        <v>0</v>
      </c>
    </row>
    <row r="148" spans="1:19" x14ac:dyDescent="0.2">
      <c r="A148" s="68">
        <v>129318</v>
      </c>
      <c r="B148" s="68" t="s">
        <v>6151</v>
      </c>
      <c r="C148" s="76">
        <v>95</v>
      </c>
      <c r="D148" s="72" t="s">
        <v>6204</v>
      </c>
      <c r="E148" s="68" t="s">
        <v>19</v>
      </c>
      <c r="F148" s="74">
        <v>42444</v>
      </c>
      <c r="G148" s="83"/>
      <c r="K148" s="133"/>
      <c r="L148" s="63"/>
      <c r="M148" s="63"/>
      <c r="N148" s="63"/>
      <c r="O148" s="63"/>
      <c r="P148" s="63"/>
      <c r="Q148" s="63">
        <f t="shared" si="9"/>
        <v>0</v>
      </c>
      <c r="R148" s="63">
        <f t="shared" si="10"/>
        <v>0</v>
      </c>
      <c r="S148" s="63">
        <f t="shared" si="11"/>
        <v>0</v>
      </c>
    </row>
    <row r="149" spans="1:19" x14ac:dyDescent="0.2">
      <c r="A149" s="68">
        <v>129318</v>
      </c>
      <c r="B149" s="68" t="s">
        <v>6151</v>
      </c>
      <c r="C149" s="76">
        <v>95</v>
      </c>
      <c r="D149" s="72" t="s">
        <v>6205</v>
      </c>
      <c r="E149" s="68" t="s">
        <v>19</v>
      </c>
      <c r="F149" s="74">
        <v>42444</v>
      </c>
      <c r="G149" s="83"/>
      <c r="K149" s="133"/>
      <c r="L149" s="63"/>
      <c r="M149" s="63"/>
      <c r="N149" s="63"/>
      <c r="O149" s="63"/>
      <c r="P149" s="63"/>
      <c r="Q149" s="63">
        <f t="shared" si="9"/>
        <v>0</v>
      </c>
      <c r="R149" s="63">
        <f t="shared" si="10"/>
        <v>0</v>
      </c>
      <c r="S149" s="63">
        <f t="shared" si="11"/>
        <v>0</v>
      </c>
    </row>
    <row r="150" spans="1:19" x14ac:dyDescent="0.2">
      <c r="A150" s="68">
        <v>129318</v>
      </c>
      <c r="B150" s="68" t="s">
        <v>6151</v>
      </c>
      <c r="C150" s="76">
        <v>95</v>
      </c>
      <c r="D150" s="72" t="s">
        <v>6206</v>
      </c>
      <c r="E150" s="68" t="s">
        <v>19</v>
      </c>
      <c r="F150" s="74">
        <v>42444</v>
      </c>
      <c r="G150" s="83"/>
      <c r="K150" s="133"/>
      <c r="L150" s="63"/>
      <c r="M150" s="63"/>
      <c r="N150" s="63"/>
      <c r="O150" s="63"/>
      <c r="P150" s="63"/>
      <c r="Q150" s="63">
        <f t="shared" si="9"/>
        <v>0</v>
      </c>
      <c r="R150" s="63">
        <f t="shared" si="10"/>
        <v>0</v>
      </c>
      <c r="S150" s="63">
        <f t="shared" si="11"/>
        <v>0</v>
      </c>
    </row>
    <row r="151" spans="1:19" x14ac:dyDescent="0.2">
      <c r="A151" s="68">
        <v>130803</v>
      </c>
      <c r="B151" s="68" t="s">
        <v>6152</v>
      </c>
      <c r="C151" s="76">
        <v>96</v>
      </c>
      <c r="D151" s="72" t="s">
        <v>6207</v>
      </c>
      <c r="E151" s="68" t="s">
        <v>19</v>
      </c>
      <c r="F151" s="74">
        <v>42444</v>
      </c>
      <c r="G151" s="83">
        <f>202.13</f>
        <v>202.13</v>
      </c>
      <c r="K151" s="133"/>
      <c r="L151" s="63"/>
      <c r="M151" s="63"/>
      <c r="N151" s="63"/>
      <c r="O151" s="63"/>
      <c r="P151" s="63"/>
      <c r="Q151" s="63">
        <f t="shared" si="9"/>
        <v>202.13</v>
      </c>
      <c r="R151" s="63">
        <f t="shared" si="10"/>
        <v>0</v>
      </c>
      <c r="S151" s="63">
        <f t="shared" si="11"/>
        <v>202.13</v>
      </c>
    </row>
    <row r="152" spans="1:19" x14ac:dyDescent="0.2">
      <c r="A152" s="85">
        <v>133800</v>
      </c>
      <c r="B152" s="85" t="s">
        <v>6153</v>
      </c>
      <c r="C152" s="76">
        <v>97</v>
      </c>
      <c r="D152" s="86" t="s">
        <v>6208</v>
      </c>
      <c r="E152" s="85" t="s">
        <v>19</v>
      </c>
      <c r="F152" s="87">
        <v>42445</v>
      </c>
      <c r="G152" s="83">
        <f>75</f>
        <v>75</v>
      </c>
      <c r="K152" s="133"/>
      <c r="L152" s="63"/>
      <c r="M152" s="63"/>
      <c r="N152" s="63"/>
      <c r="O152" s="63"/>
      <c r="P152" s="63"/>
      <c r="Q152" s="63">
        <f t="shared" si="9"/>
        <v>75</v>
      </c>
      <c r="R152" s="63">
        <f t="shared" si="10"/>
        <v>0</v>
      </c>
      <c r="S152" s="63">
        <f t="shared" si="11"/>
        <v>75</v>
      </c>
    </row>
    <row r="153" spans="1:19" x14ac:dyDescent="0.2">
      <c r="A153" s="68">
        <v>118104</v>
      </c>
      <c r="B153" s="68" t="s">
        <v>6154</v>
      </c>
      <c r="C153" s="76">
        <v>98</v>
      </c>
      <c r="D153" s="72" t="s">
        <v>6209</v>
      </c>
      <c r="E153" s="68" t="s">
        <v>19</v>
      </c>
      <c r="F153" s="74">
        <v>42445</v>
      </c>
      <c r="G153" s="83">
        <f>117.9</f>
        <v>117.9</v>
      </c>
      <c r="K153" s="133"/>
      <c r="L153" s="63"/>
      <c r="M153" s="63"/>
      <c r="N153" s="63"/>
      <c r="O153" s="63"/>
      <c r="P153" s="63"/>
      <c r="Q153" s="63">
        <f t="shared" si="9"/>
        <v>117.9</v>
      </c>
      <c r="R153" s="63">
        <f t="shared" si="10"/>
        <v>0</v>
      </c>
      <c r="S153" s="63">
        <f t="shared" si="11"/>
        <v>117.9</v>
      </c>
    </row>
    <row r="154" spans="1:19" x14ac:dyDescent="0.2">
      <c r="A154" s="85">
        <v>133502</v>
      </c>
      <c r="B154" s="85" t="s">
        <v>6155</v>
      </c>
      <c r="C154" s="76">
        <v>99</v>
      </c>
      <c r="D154" s="86" t="s">
        <v>6210</v>
      </c>
      <c r="E154" s="85" t="s">
        <v>19</v>
      </c>
      <c r="F154" s="87">
        <v>42447</v>
      </c>
      <c r="G154" s="83">
        <f>300+82.42+123.26+100.06+1656.8+166.9+132+57.2</f>
        <v>2618.64</v>
      </c>
      <c r="I154" s="63">
        <v>2550</v>
      </c>
      <c r="K154" s="133"/>
      <c r="L154" s="63"/>
      <c r="M154" s="63"/>
      <c r="N154" s="63"/>
      <c r="O154" s="63"/>
      <c r="P154" s="63"/>
      <c r="Q154" s="63">
        <f t="shared" si="9"/>
        <v>5168.6399999999994</v>
      </c>
      <c r="R154" s="63">
        <f t="shared" si="10"/>
        <v>0</v>
      </c>
      <c r="S154" s="63">
        <f t="shared" si="11"/>
        <v>5168.6399999999994</v>
      </c>
    </row>
    <row r="155" spans="1:19" x14ac:dyDescent="0.2">
      <c r="A155" s="68">
        <v>129671</v>
      </c>
      <c r="B155" s="68" t="s">
        <v>6156</v>
      </c>
      <c r="C155" s="76">
        <v>100</v>
      </c>
      <c r="D155" s="72" t="s">
        <v>6211</v>
      </c>
      <c r="E155" s="68" t="s">
        <v>19</v>
      </c>
      <c r="F155" s="74">
        <v>42448</v>
      </c>
      <c r="G155" s="83">
        <f>180</f>
        <v>180</v>
      </c>
      <c r="K155" s="133"/>
      <c r="L155" s="63"/>
      <c r="M155" s="63"/>
      <c r="N155" s="63"/>
      <c r="O155" s="63"/>
      <c r="P155" s="63"/>
      <c r="Q155" s="63">
        <f t="shared" si="9"/>
        <v>180</v>
      </c>
      <c r="R155" s="63">
        <f t="shared" si="10"/>
        <v>0</v>
      </c>
      <c r="S155" s="63">
        <f t="shared" si="11"/>
        <v>180</v>
      </c>
    </row>
    <row r="156" spans="1:19" x14ac:dyDescent="0.2">
      <c r="A156" s="90">
        <v>131405</v>
      </c>
      <c r="B156" s="90" t="s">
        <v>6157</v>
      </c>
      <c r="C156" s="76">
        <v>101</v>
      </c>
      <c r="D156" s="91" t="s">
        <v>6212</v>
      </c>
      <c r="E156" s="90" t="s">
        <v>19</v>
      </c>
      <c r="F156" s="92">
        <v>42448</v>
      </c>
      <c r="G156" s="83">
        <f>150</f>
        <v>150</v>
      </c>
      <c r="K156" s="133"/>
      <c r="L156" s="63"/>
      <c r="M156" s="63"/>
      <c r="N156" s="63"/>
      <c r="O156" s="63"/>
      <c r="P156" s="63"/>
      <c r="Q156" s="63">
        <f t="shared" si="9"/>
        <v>150</v>
      </c>
      <c r="R156" s="63">
        <f t="shared" si="10"/>
        <v>0</v>
      </c>
      <c r="S156" s="63">
        <f t="shared" si="11"/>
        <v>150</v>
      </c>
    </row>
    <row r="157" spans="1:19" x14ac:dyDescent="0.2">
      <c r="A157" s="71">
        <v>133041</v>
      </c>
      <c r="B157" s="71" t="s">
        <v>6158</v>
      </c>
      <c r="C157" s="76">
        <v>102</v>
      </c>
      <c r="D157" s="73" t="s">
        <v>6213</v>
      </c>
      <c r="E157" s="71" t="s">
        <v>19</v>
      </c>
      <c r="F157" s="75">
        <v>42449</v>
      </c>
      <c r="G157" s="83"/>
      <c r="K157" s="133"/>
      <c r="L157" s="63"/>
      <c r="M157" s="63"/>
      <c r="N157" s="63"/>
      <c r="O157" s="63"/>
      <c r="P157" s="63"/>
      <c r="Q157" s="63">
        <f t="shared" si="9"/>
        <v>0</v>
      </c>
      <c r="R157" s="63">
        <f t="shared" si="10"/>
        <v>0</v>
      </c>
      <c r="S157" s="63">
        <f t="shared" si="11"/>
        <v>0</v>
      </c>
    </row>
    <row r="158" spans="1:19" x14ac:dyDescent="0.2">
      <c r="A158" s="68">
        <v>128570</v>
      </c>
      <c r="B158" s="68" t="s">
        <v>6159</v>
      </c>
      <c r="C158" s="76">
        <v>103</v>
      </c>
      <c r="D158" s="72" t="s">
        <v>6214</v>
      </c>
      <c r="E158" s="68" t="s">
        <v>19</v>
      </c>
      <c r="F158" s="74">
        <v>42450</v>
      </c>
      <c r="G158" s="83">
        <f>119.12</f>
        <v>119.12</v>
      </c>
      <c r="K158" s="133"/>
      <c r="L158" s="63"/>
      <c r="M158" s="63"/>
      <c r="N158" s="63"/>
      <c r="O158" s="63"/>
      <c r="P158" s="63"/>
      <c r="Q158" s="63">
        <f t="shared" si="9"/>
        <v>119.12</v>
      </c>
      <c r="R158" s="63">
        <f t="shared" si="10"/>
        <v>0</v>
      </c>
      <c r="S158" s="63">
        <f t="shared" si="11"/>
        <v>119.12</v>
      </c>
    </row>
    <row r="159" spans="1:19" x14ac:dyDescent="0.2">
      <c r="A159" s="90">
        <v>133755</v>
      </c>
      <c r="B159" s="90" t="s">
        <v>6160</v>
      </c>
      <c r="C159" s="76">
        <v>104</v>
      </c>
      <c r="D159" s="91" t="s">
        <v>6215</v>
      </c>
      <c r="E159" s="90" t="s">
        <v>19</v>
      </c>
      <c r="F159" s="92">
        <v>42450</v>
      </c>
      <c r="G159" s="83">
        <f>174.3</f>
        <v>174.3</v>
      </c>
      <c r="K159" s="133"/>
      <c r="L159" s="63"/>
      <c r="M159" s="63"/>
      <c r="N159" s="63"/>
      <c r="O159" s="63"/>
      <c r="P159" s="63"/>
      <c r="Q159" s="63">
        <f t="shared" ref="Q159:Q222" si="12">+G159+I159+K159+M159+O159</f>
        <v>174.3</v>
      </c>
      <c r="R159" s="63">
        <f t="shared" ref="R159:R222" si="13">+H159+J159+L159+N159+P159</f>
        <v>0</v>
      </c>
      <c r="S159" s="63">
        <f t="shared" ref="S159:S222" si="14">+Q159+R159</f>
        <v>174.3</v>
      </c>
    </row>
    <row r="160" spans="1:19" x14ac:dyDescent="0.2">
      <c r="A160" s="90">
        <v>133755</v>
      </c>
      <c r="B160" s="90" t="s">
        <v>6160</v>
      </c>
      <c r="C160" s="76">
        <v>104</v>
      </c>
      <c r="D160" s="91" t="s">
        <v>6216</v>
      </c>
      <c r="E160" s="90" t="s">
        <v>19</v>
      </c>
      <c r="F160" s="92">
        <v>42450</v>
      </c>
      <c r="G160" s="83">
        <f>147.3</f>
        <v>147.30000000000001</v>
      </c>
      <c r="K160" s="133"/>
      <c r="L160" s="63"/>
      <c r="M160" s="63"/>
      <c r="N160" s="63"/>
      <c r="O160" s="63"/>
      <c r="P160" s="63"/>
      <c r="Q160" s="63">
        <f t="shared" si="12"/>
        <v>147.30000000000001</v>
      </c>
      <c r="R160" s="63">
        <f t="shared" si="13"/>
        <v>0</v>
      </c>
      <c r="S160" s="63">
        <f t="shared" si="14"/>
        <v>147.30000000000001</v>
      </c>
    </row>
    <row r="161" spans="1:24" x14ac:dyDescent="0.2">
      <c r="A161" s="90">
        <v>133755</v>
      </c>
      <c r="B161" s="90" t="s">
        <v>6160</v>
      </c>
      <c r="C161" s="76">
        <v>104</v>
      </c>
      <c r="D161" s="91" t="s">
        <v>6217</v>
      </c>
      <c r="E161" s="90" t="s">
        <v>19</v>
      </c>
      <c r="F161" s="92">
        <v>42450</v>
      </c>
      <c r="G161" s="83">
        <f>48.3</f>
        <v>48.3</v>
      </c>
      <c r="K161" s="133"/>
      <c r="L161" s="63"/>
      <c r="M161" s="63"/>
      <c r="N161" s="63"/>
      <c r="O161" s="63"/>
      <c r="P161" s="63"/>
      <c r="Q161" s="63">
        <f t="shared" si="12"/>
        <v>48.3</v>
      </c>
      <c r="R161" s="63">
        <f t="shared" si="13"/>
        <v>0</v>
      </c>
      <c r="S161" s="63">
        <f t="shared" si="14"/>
        <v>48.3</v>
      </c>
    </row>
    <row r="162" spans="1:24" x14ac:dyDescent="0.2">
      <c r="A162" s="90">
        <v>133755</v>
      </c>
      <c r="B162" s="90" t="s">
        <v>6160</v>
      </c>
      <c r="C162" s="76">
        <v>104</v>
      </c>
      <c r="D162" s="91" t="s">
        <v>6218</v>
      </c>
      <c r="E162" s="90" t="s">
        <v>19</v>
      </c>
      <c r="F162" s="92">
        <v>42450</v>
      </c>
      <c r="G162" s="83">
        <f>113</f>
        <v>113</v>
      </c>
      <c r="K162" s="133"/>
      <c r="L162" s="63"/>
      <c r="M162" s="63"/>
      <c r="N162" s="63"/>
      <c r="O162" s="63"/>
      <c r="P162" s="63"/>
      <c r="Q162" s="63">
        <f t="shared" si="12"/>
        <v>113</v>
      </c>
      <c r="R162" s="63">
        <f t="shared" si="13"/>
        <v>0</v>
      </c>
      <c r="S162" s="63">
        <f t="shared" si="14"/>
        <v>113</v>
      </c>
    </row>
    <row r="163" spans="1:24" x14ac:dyDescent="0.2">
      <c r="A163" s="68">
        <v>120136</v>
      </c>
      <c r="B163" s="68" t="s">
        <v>6161</v>
      </c>
      <c r="C163" s="76">
        <v>105</v>
      </c>
      <c r="D163" s="72" t="s">
        <v>6219</v>
      </c>
      <c r="E163" s="68" t="s">
        <v>19</v>
      </c>
      <c r="F163" s="74">
        <v>42450</v>
      </c>
      <c r="G163" s="83">
        <f>78.47</f>
        <v>78.47</v>
      </c>
      <c r="K163" s="133"/>
      <c r="L163" s="63"/>
      <c r="M163" s="63"/>
      <c r="N163" s="63"/>
      <c r="O163" s="63"/>
      <c r="P163" s="63"/>
      <c r="Q163" s="63">
        <f t="shared" si="12"/>
        <v>78.47</v>
      </c>
      <c r="R163" s="63">
        <f t="shared" si="13"/>
        <v>0</v>
      </c>
      <c r="S163" s="63">
        <f t="shared" si="14"/>
        <v>78.47</v>
      </c>
    </row>
    <row r="164" spans="1:24" x14ac:dyDescent="0.2">
      <c r="A164" s="71">
        <v>134108</v>
      </c>
      <c r="B164" s="71" t="s">
        <v>6162</v>
      </c>
      <c r="C164" s="76">
        <v>106</v>
      </c>
      <c r="D164" s="73" t="s">
        <v>6220</v>
      </c>
      <c r="E164" s="71" t="s">
        <v>19</v>
      </c>
      <c r="F164" s="75">
        <v>42449</v>
      </c>
      <c r="G164" s="83"/>
      <c r="I164" s="63">
        <f>775</f>
        <v>775</v>
      </c>
      <c r="K164" s="133"/>
      <c r="L164" s="63"/>
      <c r="M164" s="63"/>
      <c r="N164" s="63"/>
      <c r="O164" s="63"/>
      <c r="P164" s="63"/>
      <c r="Q164" s="63">
        <f t="shared" si="12"/>
        <v>775</v>
      </c>
      <c r="R164" s="63">
        <f t="shared" si="13"/>
        <v>0</v>
      </c>
      <c r="S164" s="63">
        <f t="shared" si="14"/>
        <v>775</v>
      </c>
    </row>
    <row r="165" spans="1:24" x14ac:dyDescent="0.2">
      <c r="A165" s="71">
        <v>134108</v>
      </c>
      <c r="B165" s="71" t="s">
        <v>6162</v>
      </c>
      <c r="C165" s="76">
        <v>106</v>
      </c>
      <c r="D165" s="73" t="s">
        <v>6221</v>
      </c>
      <c r="E165" s="71" t="s">
        <v>19</v>
      </c>
      <c r="F165" s="75">
        <v>42449</v>
      </c>
      <c r="G165" s="83">
        <f>3566.81+53.1+3952.21+70+990+128.64+76.95+631.3+118+59</f>
        <v>9646.0099999999984</v>
      </c>
      <c r="I165" s="63">
        <f>3683.33+266.67</f>
        <v>3950</v>
      </c>
      <c r="K165" s="133"/>
      <c r="L165" s="63"/>
      <c r="M165" s="63"/>
      <c r="N165" s="63"/>
      <c r="O165" s="63"/>
      <c r="P165" s="63"/>
      <c r="Q165" s="63">
        <f t="shared" si="12"/>
        <v>13596.009999999998</v>
      </c>
      <c r="R165" s="63">
        <f t="shared" si="13"/>
        <v>0</v>
      </c>
      <c r="S165" s="63">
        <f t="shared" si="14"/>
        <v>13596.009999999998</v>
      </c>
    </row>
    <row r="166" spans="1:24" x14ac:dyDescent="0.2">
      <c r="A166" s="71">
        <v>134108</v>
      </c>
      <c r="B166" s="71" t="s">
        <v>6162</v>
      </c>
      <c r="C166" s="76">
        <v>106</v>
      </c>
      <c r="D166" s="73" t="s">
        <v>6222</v>
      </c>
      <c r="E166" s="71" t="s">
        <v>19</v>
      </c>
      <c r="F166" s="75">
        <v>42449</v>
      </c>
      <c r="G166" s="83">
        <f>83.72+1553.2+3330.1+36.26+59</f>
        <v>5062.2800000000007</v>
      </c>
      <c r="I166" s="63">
        <f>3750+200</f>
        <v>3950</v>
      </c>
      <c r="K166" s="133"/>
      <c r="L166" s="63"/>
      <c r="M166" s="63"/>
      <c r="N166" s="63"/>
      <c r="O166" s="63"/>
      <c r="P166" s="63"/>
      <c r="Q166" s="63">
        <f t="shared" si="12"/>
        <v>9012.2800000000007</v>
      </c>
      <c r="R166" s="63">
        <f t="shared" si="13"/>
        <v>0</v>
      </c>
      <c r="S166" s="63">
        <f t="shared" si="14"/>
        <v>9012.2800000000007</v>
      </c>
    </row>
    <row r="167" spans="1:24" x14ac:dyDescent="0.2">
      <c r="A167" s="68">
        <v>106870</v>
      </c>
      <c r="B167" s="68" t="s">
        <v>6163</v>
      </c>
      <c r="C167" s="76">
        <v>107</v>
      </c>
      <c r="D167" s="72" t="s">
        <v>6223</v>
      </c>
      <c r="E167" s="68" t="s">
        <v>19</v>
      </c>
      <c r="F167" s="74">
        <v>42456</v>
      </c>
      <c r="G167" s="83">
        <f>147.59+71.05</f>
        <v>218.64</v>
      </c>
      <c r="K167" s="133"/>
      <c r="L167" s="63"/>
      <c r="M167" s="63"/>
      <c r="N167" s="63"/>
      <c r="O167" s="63"/>
      <c r="P167" s="63"/>
      <c r="Q167" s="63">
        <f t="shared" si="12"/>
        <v>218.64</v>
      </c>
      <c r="R167" s="63">
        <f t="shared" si="13"/>
        <v>0</v>
      </c>
      <c r="S167" s="63">
        <f t="shared" si="14"/>
        <v>218.64</v>
      </c>
    </row>
    <row r="168" spans="1:24" x14ac:dyDescent="0.2">
      <c r="A168" s="68">
        <v>123391</v>
      </c>
      <c r="B168" s="68" t="s">
        <v>6164</v>
      </c>
      <c r="C168" s="76">
        <v>108</v>
      </c>
      <c r="D168" s="72" t="s">
        <v>6224</v>
      </c>
      <c r="E168" s="68" t="s">
        <v>19</v>
      </c>
      <c r="F168" s="74">
        <v>42456</v>
      </c>
      <c r="G168" s="83">
        <f>82.78</f>
        <v>82.78</v>
      </c>
      <c r="K168" s="133"/>
      <c r="L168" s="63"/>
      <c r="M168" s="63"/>
      <c r="N168" s="63"/>
      <c r="O168" s="63"/>
      <c r="P168" s="63"/>
      <c r="Q168" s="63">
        <f t="shared" si="12"/>
        <v>82.78</v>
      </c>
      <c r="R168" s="63">
        <f t="shared" si="13"/>
        <v>0</v>
      </c>
      <c r="S168" s="63">
        <f t="shared" si="14"/>
        <v>82.78</v>
      </c>
    </row>
    <row r="169" spans="1:24" x14ac:dyDescent="0.2">
      <c r="A169" s="68">
        <v>123391</v>
      </c>
      <c r="B169" s="68" t="s">
        <v>6164</v>
      </c>
      <c r="C169" s="76">
        <v>108</v>
      </c>
      <c r="D169" s="72" t="s">
        <v>6225</v>
      </c>
      <c r="E169" s="68" t="s">
        <v>19</v>
      </c>
      <c r="F169" s="74">
        <v>42456</v>
      </c>
      <c r="G169" s="83">
        <v>82.78</v>
      </c>
      <c r="K169" s="133"/>
      <c r="L169" s="63"/>
      <c r="M169" s="63"/>
      <c r="N169" s="63"/>
      <c r="O169" s="63"/>
      <c r="P169" s="63"/>
      <c r="Q169" s="63">
        <f t="shared" si="12"/>
        <v>82.78</v>
      </c>
      <c r="R169" s="63">
        <f t="shared" si="13"/>
        <v>0</v>
      </c>
      <c r="S169" s="63">
        <f t="shared" si="14"/>
        <v>82.78</v>
      </c>
    </row>
    <row r="170" spans="1:24" x14ac:dyDescent="0.2">
      <c r="A170" s="68">
        <v>122473</v>
      </c>
      <c r="B170" s="68" t="s">
        <v>6165</v>
      </c>
      <c r="C170" s="76">
        <v>109</v>
      </c>
      <c r="D170" s="72" t="s">
        <v>6226</v>
      </c>
      <c r="E170" s="68" t="s">
        <v>19</v>
      </c>
      <c r="F170" s="74">
        <v>42457</v>
      </c>
      <c r="G170" s="83">
        <f>17965.35+590</f>
        <v>18555.349999999999</v>
      </c>
      <c r="I170" s="63">
        <v>3950</v>
      </c>
      <c r="K170" s="133"/>
      <c r="L170" s="63"/>
      <c r="M170" s="63"/>
      <c r="N170" s="63"/>
      <c r="O170" s="63"/>
      <c r="P170" s="63"/>
      <c r="Q170" s="63">
        <f t="shared" si="12"/>
        <v>22505.35</v>
      </c>
      <c r="R170" s="63">
        <f t="shared" si="13"/>
        <v>0</v>
      </c>
      <c r="S170" s="63">
        <f t="shared" si="14"/>
        <v>22505.35</v>
      </c>
    </row>
    <row r="171" spans="1:24" x14ac:dyDescent="0.2">
      <c r="A171" s="71">
        <v>132947</v>
      </c>
      <c r="B171" s="71" t="s">
        <v>6166</v>
      </c>
      <c r="C171" s="76">
        <v>110</v>
      </c>
      <c r="D171" s="73" t="s">
        <v>6227</v>
      </c>
      <c r="E171" s="71" t="s">
        <v>19</v>
      </c>
      <c r="F171" s="75">
        <v>42458</v>
      </c>
      <c r="G171" s="83">
        <f>222.1</f>
        <v>222.1</v>
      </c>
      <c r="K171" s="133"/>
      <c r="L171" s="63"/>
      <c r="M171" s="63"/>
      <c r="N171" s="63"/>
      <c r="O171" s="63"/>
      <c r="P171" s="63"/>
      <c r="Q171" s="63">
        <f t="shared" si="12"/>
        <v>222.1</v>
      </c>
      <c r="R171" s="63">
        <f t="shared" si="13"/>
        <v>0</v>
      </c>
      <c r="S171" s="63">
        <f t="shared" si="14"/>
        <v>222.1</v>
      </c>
    </row>
    <row r="172" spans="1:24" x14ac:dyDescent="0.2">
      <c r="A172" s="68">
        <v>106702</v>
      </c>
      <c r="B172" s="68" t="s">
        <v>6167</v>
      </c>
      <c r="C172" s="76">
        <v>111</v>
      </c>
      <c r="D172" s="72" t="s">
        <v>6228</v>
      </c>
      <c r="E172" s="68" t="s">
        <v>19</v>
      </c>
      <c r="F172" s="74">
        <v>42458</v>
      </c>
      <c r="G172" s="83">
        <f>142.3</f>
        <v>142.30000000000001</v>
      </c>
      <c r="K172" s="133"/>
      <c r="L172" s="63"/>
      <c r="M172" s="63"/>
      <c r="N172" s="63"/>
      <c r="O172" s="63"/>
      <c r="P172" s="63"/>
      <c r="Q172" s="63">
        <f t="shared" si="12"/>
        <v>142.30000000000001</v>
      </c>
      <c r="R172" s="63">
        <f t="shared" si="13"/>
        <v>0</v>
      </c>
      <c r="S172" s="63">
        <f t="shared" si="14"/>
        <v>142.30000000000001</v>
      </c>
    </row>
    <row r="173" spans="1:24" x14ac:dyDescent="0.2">
      <c r="A173" s="68">
        <v>129699</v>
      </c>
      <c r="B173" s="68" t="s">
        <v>6168</v>
      </c>
      <c r="C173" s="76">
        <v>112</v>
      </c>
      <c r="D173" s="72" t="s">
        <v>6229</v>
      </c>
      <c r="E173" s="68" t="s">
        <v>19</v>
      </c>
      <c r="F173" s="74">
        <v>42460</v>
      </c>
      <c r="G173" s="83">
        <f>238+174.2+70</f>
        <v>482.2</v>
      </c>
      <c r="K173" s="133"/>
      <c r="L173" s="63"/>
      <c r="M173" s="63"/>
      <c r="N173" s="63"/>
      <c r="O173" s="63"/>
      <c r="P173" s="63"/>
      <c r="Q173" s="63">
        <f t="shared" si="12"/>
        <v>482.2</v>
      </c>
      <c r="R173" s="63">
        <f t="shared" si="13"/>
        <v>0</v>
      </c>
      <c r="S173" s="63">
        <f t="shared" si="14"/>
        <v>482.2</v>
      </c>
    </row>
    <row r="174" spans="1:24" x14ac:dyDescent="0.2">
      <c r="A174" s="68">
        <v>133000</v>
      </c>
      <c r="B174" s="68" t="s">
        <v>6230</v>
      </c>
      <c r="C174" s="76">
        <v>113</v>
      </c>
      <c r="D174" s="72" t="s">
        <v>6245</v>
      </c>
      <c r="E174" s="68" t="s">
        <v>19</v>
      </c>
      <c r="F174" s="74">
        <v>42462</v>
      </c>
      <c r="G174" s="83">
        <f>2641.35+94.09+94.09</f>
        <v>2829.53</v>
      </c>
      <c r="I174" s="63">
        <f>1500</f>
        <v>1500</v>
      </c>
      <c r="K174" s="133"/>
      <c r="L174" s="63"/>
      <c r="M174" s="63"/>
      <c r="N174" s="63"/>
      <c r="O174" s="63"/>
      <c r="P174" s="63"/>
      <c r="Q174" s="63">
        <f t="shared" si="12"/>
        <v>4329.5300000000007</v>
      </c>
      <c r="R174" s="63">
        <f t="shared" si="13"/>
        <v>0</v>
      </c>
      <c r="S174" s="63">
        <f t="shared" si="14"/>
        <v>4329.5300000000007</v>
      </c>
      <c r="T174" s="84"/>
      <c r="U174" s="84"/>
      <c r="V174" s="84"/>
      <c r="W174" s="84"/>
      <c r="X174" s="84"/>
    </row>
    <row r="175" spans="1:24" x14ac:dyDescent="0.2">
      <c r="A175" s="68">
        <v>130120</v>
      </c>
      <c r="B175" s="68" t="s">
        <v>6231</v>
      </c>
      <c r="C175" s="76">
        <v>114</v>
      </c>
      <c r="D175" s="72" t="s">
        <v>6246</v>
      </c>
      <c r="E175" s="68" t="s">
        <v>19</v>
      </c>
      <c r="F175" s="74">
        <v>42463</v>
      </c>
      <c r="G175" s="83">
        <f>486.07</f>
        <v>486.07</v>
      </c>
      <c r="K175" s="133"/>
      <c r="L175" s="63"/>
      <c r="M175" s="63"/>
      <c r="N175" s="63"/>
      <c r="O175" s="63"/>
      <c r="P175" s="63"/>
      <c r="Q175" s="63">
        <f t="shared" si="12"/>
        <v>486.07</v>
      </c>
      <c r="R175" s="63">
        <f t="shared" si="13"/>
        <v>0</v>
      </c>
      <c r="S175" s="63">
        <f t="shared" si="14"/>
        <v>486.07</v>
      </c>
    </row>
    <row r="176" spans="1:24" x14ac:dyDescent="0.2">
      <c r="A176" s="68">
        <v>124412</v>
      </c>
      <c r="B176" s="68" t="s">
        <v>6232</v>
      </c>
      <c r="C176" s="76">
        <v>115</v>
      </c>
      <c r="D176" s="72" t="s">
        <v>6247</v>
      </c>
      <c r="E176" s="68" t="s">
        <v>19</v>
      </c>
      <c r="F176" s="74">
        <v>42464</v>
      </c>
      <c r="G176" s="83"/>
      <c r="K176" s="133"/>
      <c r="L176" s="63"/>
      <c r="M176" s="63"/>
      <c r="N176" s="63"/>
      <c r="O176" s="63"/>
      <c r="P176" s="63"/>
      <c r="Q176" s="63">
        <f t="shared" si="12"/>
        <v>0</v>
      </c>
      <c r="R176" s="63">
        <f t="shared" si="13"/>
        <v>0</v>
      </c>
      <c r="S176" s="63">
        <f t="shared" si="14"/>
        <v>0</v>
      </c>
    </row>
    <row r="177" spans="1:19" x14ac:dyDescent="0.2">
      <c r="A177" s="68">
        <v>124412</v>
      </c>
      <c r="B177" s="68" t="s">
        <v>6232</v>
      </c>
      <c r="C177" s="76">
        <v>115</v>
      </c>
      <c r="D177" s="72" t="s">
        <v>6248</v>
      </c>
      <c r="E177" s="68" t="s">
        <v>19</v>
      </c>
      <c r="F177" s="74">
        <v>42464</v>
      </c>
      <c r="G177" s="83"/>
      <c r="K177" s="133"/>
      <c r="L177" s="63"/>
      <c r="M177" s="63"/>
      <c r="N177" s="63"/>
      <c r="O177" s="63"/>
      <c r="P177" s="63"/>
      <c r="Q177" s="63">
        <f t="shared" si="12"/>
        <v>0</v>
      </c>
      <c r="R177" s="63">
        <f t="shared" si="13"/>
        <v>0</v>
      </c>
      <c r="S177" s="63">
        <f t="shared" si="14"/>
        <v>0</v>
      </c>
    </row>
    <row r="178" spans="1:19" x14ac:dyDescent="0.2">
      <c r="A178" s="68">
        <v>131620</v>
      </c>
      <c r="B178" s="68" t="s">
        <v>6233</v>
      </c>
      <c r="C178" s="76">
        <v>116</v>
      </c>
      <c r="D178" s="72" t="s">
        <v>6249</v>
      </c>
      <c r="E178" s="68" t="s">
        <v>19</v>
      </c>
      <c r="F178" s="74">
        <v>42464</v>
      </c>
      <c r="G178" s="83">
        <f>118.77</f>
        <v>118.77</v>
      </c>
      <c r="K178" s="133"/>
      <c r="L178" s="63"/>
      <c r="M178" s="63"/>
      <c r="N178" s="63"/>
      <c r="O178" s="63"/>
      <c r="P178" s="63"/>
      <c r="Q178" s="63">
        <f t="shared" si="12"/>
        <v>118.77</v>
      </c>
      <c r="R178" s="63">
        <f t="shared" si="13"/>
        <v>0</v>
      </c>
      <c r="S178" s="63">
        <f t="shared" si="14"/>
        <v>118.77</v>
      </c>
    </row>
    <row r="179" spans="1:19" x14ac:dyDescent="0.2">
      <c r="A179" s="68">
        <v>130479</v>
      </c>
      <c r="B179" s="68" t="s">
        <v>6234</v>
      </c>
      <c r="C179" s="76">
        <v>117</v>
      </c>
      <c r="D179" s="72" t="s">
        <v>6250</v>
      </c>
      <c r="E179" s="68" t="s">
        <v>19</v>
      </c>
      <c r="F179" s="74">
        <v>42465</v>
      </c>
      <c r="G179" s="83">
        <f>411.17</f>
        <v>411.17</v>
      </c>
      <c r="K179" s="133"/>
      <c r="L179" s="63"/>
      <c r="M179" s="63"/>
      <c r="N179" s="63"/>
      <c r="O179" s="63"/>
      <c r="P179" s="63"/>
      <c r="Q179" s="63">
        <f t="shared" si="12"/>
        <v>411.17</v>
      </c>
      <c r="R179" s="63">
        <f t="shared" si="13"/>
        <v>0</v>
      </c>
      <c r="S179" s="63">
        <f t="shared" si="14"/>
        <v>411.17</v>
      </c>
    </row>
    <row r="180" spans="1:19" x14ac:dyDescent="0.2">
      <c r="A180" s="68">
        <v>130479</v>
      </c>
      <c r="B180" s="68" t="s">
        <v>6234</v>
      </c>
      <c r="C180" s="76">
        <v>117</v>
      </c>
      <c r="D180" s="72" t="s">
        <v>6251</v>
      </c>
      <c r="E180" s="68" t="s">
        <v>19</v>
      </c>
      <c r="F180" s="74">
        <v>42465</v>
      </c>
      <c r="G180" s="83">
        <f>320+186.03</f>
        <v>506.03</v>
      </c>
      <c r="K180" s="133"/>
      <c r="L180" s="63"/>
      <c r="M180" s="63"/>
      <c r="N180" s="63"/>
      <c r="O180" s="63"/>
      <c r="P180" s="63"/>
      <c r="Q180" s="63">
        <f t="shared" si="12"/>
        <v>506.03</v>
      </c>
      <c r="R180" s="63">
        <f t="shared" si="13"/>
        <v>0</v>
      </c>
      <c r="S180" s="63">
        <f t="shared" si="14"/>
        <v>506.03</v>
      </c>
    </row>
    <row r="181" spans="1:19" x14ac:dyDescent="0.2">
      <c r="A181" s="68">
        <v>130479</v>
      </c>
      <c r="B181" s="68" t="s">
        <v>6234</v>
      </c>
      <c r="C181" s="76">
        <v>117</v>
      </c>
      <c r="D181" s="72" t="s">
        <v>6252</v>
      </c>
      <c r="E181" s="68" t="s">
        <v>19</v>
      </c>
      <c r="F181" s="74">
        <v>42465</v>
      </c>
      <c r="G181" s="83">
        <f>84.9</f>
        <v>84.9</v>
      </c>
      <c r="K181" s="133"/>
      <c r="L181" s="63"/>
      <c r="M181" s="63"/>
      <c r="N181" s="63"/>
      <c r="O181" s="63"/>
      <c r="P181" s="63"/>
      <c r="Q181" s="63">
        <f t="shared" si="12"/>
        <v>84.9</v>
      </c>
      <c r="R181" s="63">
        <f t="shared" si="13"/>
        <v>0</v>
      </c>
      <c r="S181" s="63">
        <f t="shared" si="14"/>
        <v>84.9</v>
      </c>
    </row>
    <row r="182" spans="1:19" x14ac:dyDescent="0.2">
      <c r="A182" s="68">
        <v>131155</v>
      </c>
      <c r="B182" s="68" t="s">
        <v>6235</v>
      </c>
      <c r="C182" s="76">
        <v>118</v>
      </c>
      <c r="D182" s="72" t="s">
        <v>6253</v>
      </c>
      <c r="E182" s="68" t="s">
        <v>4064</v>
      </c>
      <c r="F182" s="74">
        <v>42466</v>
      </c>
      <c r="G182" s="83">
        <f>77.9+211+77</f>
        <v>365.9</v>
      </c>
      <c r="I182" s="63">
        <v>1680</v>
      </c>
      <c r="K182" s="133"/>
      <c r="L182" s="63"/>
      <c r="M182" s="63"/>
      <c r="N182" s="63"/>
      <c r="O182" s="63"/>
      <c r="P182" s="63"/>
      <c r="Q182" s="63">
        <f t="shared" si="12"/>
        <v>2045.9</v>
      </c>
      <c r="R182" s="63">
        <f t="shared" si="13"/>
        <v>0</v>
      </c>
      <c r="S182" s="63">
        <f t="shared" si="14"/>
        <v>2045.9</v>
      </c>
    </row>
    <row r="183" spans="1:19" x14ac:dyDescent="0.2">
      <c r="A183" s="68">
        <v>130272</v>
      </c>
      <c r="B183" s="68" t="s">
        <v>6236</v>
      </c>
      <c r="C183" s="76">
        <v>119</v>
      </c>
      <c r="D183" s="72" t="s">
        <v>6254</v>
      </c>
      <c r="E183" s="68" t="s">
        <v>19</v>
      </c>
      <c r="F183" s="74">
        <v>42465</v>
      </c>
      <c r="G183" s="83">
        <f>175.1+35</f>
        <v>210.1</v>
      </c>
      <c r="K183" s="133"/>
      <c r="L183" s="63"/>
      <c r="M183" s="63"/>
      <c r="N183" s="63"/>
      <c r="O183" s="63"/>
      <c r="P183" s="63"/>
      <c r="Q183" s="63">
        <f t="shared" si="12"/>
        <v>210.1</v>
      </c>
      <c r="R183" s="63">
        <f t="shared" si="13"/>
        <v>0</v>
      </c>
      <c r="S183" s="63">
        <f t="shared" si="14"/>
        <v>210.1</v>
      </c>
    </row>
    <row r="184" spans="1:19" x14ac:dyDescent="0.2">
      <c r="A184" s="68">
        <v>130272</v>
      </c>
      <c r="B184" s="68" t="s">
        <v>6236</v>
      </c>
      <c r="C184" s="76">
        <v>119</v>
      </c>
      <c r="D184" s="72" t="s">
        <v>6255</v>
      </c>
      <c r="E184" s="68" t="s">
        <v>19</v>
      </c>
      <c r="F184" s="74">
        <v>42465</v>
      </c>
      <c r="G184" s="83">
        <f>238+345.4</f>
        <v>583.4</v>
      </c>
      <c r="K184" s="133"/>
      <c r="L184" s="63"/>
      <c r="M184" s="63"/>
      <c r="N184" s="63"/>
      <c r="O184" s="63"/>
      <c r="P184" s="63"/>
      <c r="Q184" s="63">
        <f t="shared" si="12"/>
        <v>583.4</v>
      </c>
      <c r="R184" s="63">
        <f t="shared" si="13"/>
        <v>0</v>
      </c>
      <c r="S184" s="63">
        <f t="shared" si="14"/>
        <v>583.4</v>
      </c>
    </row>
    <row r="185" spans="1:19" x14ac:dyDescent="0.2">
      <c r="A185" s="68">
        <v>133556</v>
      </c>
      <c r="B185" s="68" t="s">
        <v>6237</v>
      </c>
      <c r="C185" s="76">
        <v>120</v>
      </c>
      <c r="D185" s="72" t="s">
        <v>6256</v>
      </c>
      <c r="E185" s="68" t="s">
        <v>19</v>
      </c>
      <c r="F185" s="74">
        <v>42467</v>
      </c>
      <c r="G185" s="83">
        <f>41.3+317.22+41.3+45.95+41.3+41.3+35</f>
        <v>563.37</v>
      </c>
      <c r="K185" s="133"/>
      <c r="L185" s="63"/>
      <c r="M185" s="63"/>
      <c r="N185" s="63"/>
      <c r="O185" s="63"/>
      <c r="P185" s="63"/>
      <c r="Q185" s="63">
        <f t="shared" si="12"/>
        <v>563.37</v>
      </c>
      <c r="R185" s="63">
        <f t="shared" si="13"/>
        <v>0</v>
      </c>
      <c r="S185" s="63">
        <f t="shared" si="14"/>
        <v>563.37</v>
      </c>
    </row>
    <row r="186" spans="1:19" x14ac:dyDescent="0.2">
      <c r="A186" s="68">
        <v>124472</v>
      </c>
      <c r="B186" s="68" t="s">
        <v>6238</v>
      </c>
      <c r="C186" s="76">
        <v>121</v>
      </c>
      <c r="D186" s="72" t="s">
        <v>6257</v>
      </c>
      <c r="E186" s="68" t="s">
        <v>19</v>
      </c>
      <c r="F186" s="74">
        <v>42467</v>
      </c>
      <c r="G186" s="83">
        <f>305.77+725.8</f>
        <v>1031.57</v>
      </c>
      <c r="I186" s="63">
        <v>250</v>
      </c>
      <c r="K186" s="133"/>
      <c r="L186" s="63"/>
      <c r="M186" s="63"/>
      <c r="N186" s="63"/>
      <c r="O186" s="63"/>
      <c r="P186" s="63"/>
      <c r="Q186" s="63">
        <f t="shared" si="12"/>
        <v>1281.57</v>
      </c>
      <c r="R186" s="63">
        <f t="shared" si="13"/>
        <v>0</v>
      </c>
      <c r="S186" s="63">
        <f t="shared" si="14"/>
        <v>1281.57</v>
      </c>
    </row>
    <row r="187" spans="1:19" x14ac:dyDescent="0.2">
      <c r="A187" s="68">
        <v>131177</v>
      </c>
      <c r="B187" s="68" t="s">
        <v>6239</v>
      </c>
      <c r="C187" s="76">
        <v>122</v>
      </c>
      <c r="D187" s="72" t="s">
        <v>6258</v>
      </c>
      <c r="E187" s="68" t="s">
        <v>4064</v>
      </c>
      <c r="F187" s="74">
        <v>42467</v>
      </c>
      <c r="G187" s="83"/>
      <c r="K187" s="133"/>
      <c r="L187" s="63"/>
      <c r="M187" s="63"/>
      <c r="N187" s="63"/>
      <c r="O187" s="63"/>
      <c r="P187" s="63"/>
      <c r="Q187" s="63">
        <f t="shared" si="12"/>
        <v>0</v>
      </c>
      <c r="R187" s="63">
        <f t="shared" si="13"/>
        <v>0</v>
      </c>
      <c r="S187" s="63">
        <f t="shared" si="14"/>
        <v>0</v>
      </c>
    </row>
    <row r="188" spans="1:19" x14ac:dyDescent="0.2">
      <c r="A188" s="68">
        <v>119420</v>
      </c>
      <c r="B188" s="68" t="s">
        <v>6240</v>
      </c>
      <c r="C188" s="76">
        <v>123</v>
      </c>
      <c r="D188" s="72" t="s">
        <v>6259</v>
      </c>
      <c r="E188" s="68" t="s">
        <v>19</v>
      </c>
      <c r="F188" s="74">
        <v>42470</v>
      </c>
      <c r="G188" s="83">
        <f>49.5+40</f>
        <v>89.5</v>
      </c>
      <c r="K188" s="133"/>
      <c r="L188" s="63"/>
      <c r="M188" s="63"/>
      <c r="N188" s="63"/>
      <c r="O188" s="63"/>
      <c r="P188" s="63"/>
      <c r="Q188" s="63">
        <f t="shared" si="12"/>
        <v>89.5</v>
      </c>
      <c r="R188" s="63">
        <f t="shared" si="13"/>
        <v>0</v>
      </c>
      <c r="S188" s="63">
        <f t="shared" si="14"/>
        <v>89.5</v>
      </c>
    </row>
    <row r="189" spans="1:19" x14ac:dyDescent="0.2">
      <c r="A189" s="68">
        <v>119420</v>
      </c>
      <c r="B189" s="68" t="s">
        <v>6240</v>
      </c>
      <c r="C189" s="76">
        <v>123</v>
      </c>
      <c r="D189" s="72" t="s">
        <v>6260</v>
      </c>
      <c r="E189" s="68" t="s">
        <v>19</v>
      </c>
      <c r="F189" s="74">
        <v>42470</v>
      </c>
      <c r="G189" s="83">
        <f>147+582.4+35</f>
        <v>764.4</v>
      </c>
      <c r="K189" s="133"/>
      <c r="L189" s="63"/>
      <c r="M189" s="63"/>
      <c r="N189" s="63"/>
      <c r="O189" s="63"/>
      <c r="P189" s="63"/>
      <c r="Q189" s="63">
        <f t="shared" si="12"/>
        <v>764.4</v>
      </c>
      <c r="R189" s="63">
        <f t="shared" si="13"/>
        <v>0</v>
      </c>
      <c r="S189" s="63">
        <f t="shared" si="14"/>
        <v>764.4</v>
      </c>
    </row>
    <row r="190" spans="1:19" x14ac:dyDescent="0.2">
      <c r="A190" s="68">
        <v>119420</v>
      </c>
      <c r="B190" s="68" t="s">
        <v>6240</v>
      </c>
      <c r="C190" s="76">
        <v>123</v>
      </c>
      <c r="D190" s="72" t="s">
        <v>6261</v>
      </c>
      <c r="E190" s="68" t="s">
        <v>19</v>
      </c>
      <c r="F190" s="74">
        <v>42470</v>
      </c>
      <c r="G190" s="83">
        <f>152+360.61+35</f>
        <v>547.61</v>
      </c>
      <c r="K190" s="133"/>
      <c r="L190" s="63"/>
      <c r="M190" s="63"/>
      <c r="N190" s="63"/>
      <c r="O190" s="63"/>
      <c r="P190" s="63"/>
      <c r="Q190" s="63">
        <f t="shared" si="12"/>
        <v>547.61</v>
      </c>
      <c r="R190" s="63">
        <f t="shared" si="13"/>
        <v>0</v>
      </c>
      <c r="S190" s="63">
        <f t="shared" si="14"/>
        <v>547.61</v>
      </c>
    </row>
    <row r="191" spans="1:19" x14ac:dyDescent="0.2">
      <c r="A191" s="68">
        <v>119420</v>
      </c>
      <c r="B191" s="68" t="s">
        <v>6240</v>
      </c>
      <c r="C191" s="76">
        <v>123</v>
      </c>
      <c r="D191" s="72" t="s">
        <v>6262</v>
      </c>
      <c r="E191" s="68" t="s">
        <v>19</v>
      </c>
      <c r="F191" s="74">
        <v>42470</v>
      </c>
      <c r="G191" s="83">
        <f>143.5+202.86+120</f>
        <v>466.36</v>
      </c>
      <c r="I191" s="63">
        <v>175</v>
      </c>
      <c r="K191" s="133"/>
      <c r="L191" s="63"/>
      <c r="M191" s="63"/>
      <c r="N191" s="63"/>
      <c r="O191" s="63"/>
      <c r="P191" s="63"/>
      <c r="Q191" s="63">
        <f t="shared" si="12"/>
        <v>641.36</v>
      </c>
      <c r="R191" s="63">
        <f t="shared" si="13"/>
        <v>0</v>
      </c>
      <c r="S191" s="63">
        <f t="shared" si="14"/>
        <v>641.36</v>
      </c>
    </row>
    <row r="192" spans="1:19" x14ac:dyDescent="0.2">
      <c r="A192" s="68">
        <v>119420</v>
      </c>
      <c r="B192" s="68" t="s">
        <v>6240</v>
      </c>
      <c r="C192" s="76">
        <v>123</v>
      </c>
      <c r="D192" s="72" t="s">
        <v>6263</v>
      </c>
      <c r="E192" s="68" t="s">
        <v>19</v>
      </c>
      <c r="F192" s="74">
        <v>42470</v>
      </c>
      <c r="G192" s="83">
        <f>49.2</f>
        <v>49.2</v>
      </c>
      <c r="K192" s="133"/>
      <c r="L192" s="63"/>
      <c r="M192" s="63"/>
      <c r="N192" s="63"/>
      <c r="O192" s="63"/>
      <c r="P192" s="63"/>
      <c r="Q192" s="63">
        <f t="shared" si="12"/>
        <v>49.2</v>
      </c>
      <c r="R192" s="63">
        <f t="shared" si="13"/>
        <v>0</v>
      </c>
      <c r="S192" s="63">
        <f t="shared" si="14"/>
        <v>49.2</v>
      </c>
    </row>
    <row r="193" spans="1:19" x14ac:dyDescent="0.2">
      <c r="A193" s="68">
        <v>118093</v>
      </c>
      <c r="B193" s="68" t="s">
        <v>6241</v>
      </c>
      <c r="C193" s="76">
        <v>124</v>
      </c>
      <c r="D193" s="72" t="s">
        <v>6264</v>
      </c>
      <c r="E193" s="68" t="s">
        <v>19</v>
      </c>
      <c r="F193" s="74">
        <v>42470</v>
      </c>
      <c r="G193" s="83">
        <f>49.2</f>
        <v>49.2</v>
      </c>
      <c r="K193" s="133"/>
      <c r="L193" s="63"/>
      <c r="M193" s="63"/>
      <c r="N193" s="63"/>
      <c r="O193" s="63"/>
      <c r="P193" s="63"/>
      <c r="Q193" s="63">
        <f t="shared" si="12"/>
        <v>49.2</v>
      </c>
      <c r="R193" s="63">
        <f t="shared" si="13"/>
        <v>0</v>
      </c>
      <c r="S193" s="63">
        <f t="shared" si="14"/>
        <v>49.2</v>
      </c>
    </row>
    <row r="194" spans="1:19" x14ac:dyDescent="0.2">
      <c r="A194" s="68">
        <v>130267</v>
      </c>
      <c r="B194" s="68" t="s">
        <v>6242</v>
      </c>
      <c r="C194" s="76">
        <v>125</v>
      </c>
      <c r="D194" s="72" t="s">
        <v>6265</v>
      </c>
      <c r="E194" s="68" t="s">
        <v>19</v>
      </c>
      <c r="F194" s="74">
        <v>42472</v>
      </c>
      <c r="G194" s="83">
        <f>846.26+41.3+41.3+769.63+125+481.3+261.3</f>
        <v>2566.09</v>
      </c>
      <c r="I194" s="63">
        <f>1500+136.67</f>
        <v>1636.67</v>
      </c>
      <c r="K194" s="133"/>
      <c r="L194" s="63"/>
      <c r="M194" s="63"/>
      <c r="N194" s="63"/>
      <c r="O194" s="63"/>
      <c r="P194" s="63"/>
      <c r="Q194" s="63">
        <f t="shared" si="12"/>
        <v>4202.76</v>
      </c>
      <c r="R194" s="63">
        <f t="shared" si="13"/>
        <v>0</v>
      </c>
      <c r="S194" s="63">
        <f t="shared" si="14"/>
        <v>4202.76</v>
      </c>
    </row>
    <row r="195" spans="1:19" x14ac:dyDescent="0.2">
      <c r="A195" s="68">
        <v>128636</v>
      </c>
      <c r="B195" s="68" t="s">
        <v>6243</v>
      </c>
      <c r="C195" s="76">
        <v>126</v>
      </c>
      <c r="D195" s="72" t="s">
        <v>6266</v>
      </c>
      <c r="E195" s="68" t="s">
        <v>19</v>
      </c>
      <c r="F195" s="74">
        <v>42472</v>
      </c>
      <c r="G195" s="83">
        <f>144</f>
        <v>144</v>
      </c>
      <c r="K195" s="133"/>
      <c r="L195" s="63"/>
      <c r="M195" s="63"/>
      <c r="N195" s="63"/>
      <c r="O195" s="63"/>
      <c r="P195" s="63"/>
      <c r="Q195" s="63">
        <f t="shared" si="12"/>
        <v>144</v>
      </c>
      <c r="R195" s="63">
        <f t="shared" si="13"/>
        <v>0</v>
      </c>
      <c r="S195" s="63">
        <f t="shared" si="14"/>
        <v>144</v>
      </c>
    </row>
    <row r="196" spans="1:19" x14ac:dyDescent="0.2">
      <c r="A196" s="68">
        <v>124536</v>
      </c>
      <c r="B196" s="68" t="s">
        <v>6244</v>
      </c>
      <c r="C196" s="76">
        <v>127</v>
      </c>
      <c r="D196" s="72" t="s">
        <v>6267</v>
      </c>
      <c r="E196" s="68" t="s">
        <v>19</v>
      </c>
      <c r="F196" s="74">
        <v>42473</v>
      </c>
      <c r="G196" s="83">
        <f>261.3+120.66</f>
        <v>381.96000000000004</v>
      </c>
      <c r="K196" s="133"/>
      <c r="L196" s="63"/>
      <c r="M196" s="63"/>
      <c r="N196" s="63"/>
      <c r="O196" s="63"/>
      <c r="P196" s="63"/>
      <c r="Q196" s="63">
        <f t="shared" si="12"/>
        <v>381.96000000000004</v>
      </c>
      <c r="R196" s="63">
        <f t="shared" si="13"/>
        <v>0</v>
      </c>
      <c r="S196" s="63">
        <f t="shared" si="14"/>
        <v>381.96000000000004</v>
      </c>
    </row>
    <row r="197" spans="1:19" x14ac:dyDescent="0.2">
      <c r="A197" s="68">
        <v>124536</v>
      </c>
      <c r="B197" s="68" t="s">
        <v>6244</v>
      </c>
      <c r="C197" s="76">
        <v>127</v>
      </c>
      <c r="D197" s="72" t="s">
        <v>6754</v>
      </c>
      <c r="E197" s="68" t="s">
        <v>19</v>
      </c>
      <c r="F197" s="74">
        <v>42473</v>
      </c>
      <c r="G197" s="83">
        <v>124.73</v>
      </c>
      <c r="K197" s="133"/>
      <c r="L197" s="63"/>
      <c r="M197" s="63"/>
      <c r="N197" s="63"/>
      <c r="O197" s="63"/>
      <c r="P197" s="63"/>
      <c r="Q197" s="63">
        <f t="shared" si="12"/>
        <v>124.73</v>
      </c>
      <c r="R197" s="63">
        <f t="shared" si="13"/>
        <v>0</v>
      </c>
      <c r="S197" s="63">
        <f t="shared" si="14"/>
        <v>124.73</v>
      </c>
    </row>
    <row r="198" spans="1:19" x14ac:dyDescent="0.2">
      <c r="A198" s="68">
        <v>121919</v>
      </c>
      <c r="B198" s="68" t="s">
        <v>6271</v>
      </c>
      <c r="C198" s="76">
        <v>128</v>
      </c>
      <c r="D198" s="72" t="s">
        <v>6295</v>
      </c>
      <c r="E198" s="68" t="s">
        <v>19</v>
      </c>
      <c r="F198" s="74">
        <v>42474</v>
      </c>
      <c r="G198" s="83">
        <f>41.3</f>
        <v>41.3</v>
      </c>
      <c r="K198" s="133"/>
      <c r="L198" s="63"/>
      <c r="M198" s="63"/>
      <c r="N198" s="63"/>
      <c r="O198" s="63"/>
      <c r="P198" s="63"/>
      <c r="Q198" s="63">
        <f t="shared" si="12"/>
        <v>41.3</v>
      </c>
      <c r="R198" s="63">
        <f t="shared" si="13"/>
        <v>0</v>
      </c>
      <c r="S198" s="63">
        <f t="shared" si="14"/>
        <v>41.3</v>
      </c>
    </row>
    <row r="199" spans="1:19" x14ac:dyDescent="0.2">
      <c r="A199" s="68">
        <v>121919</v>
      </c>
      <c r="B199" s="68" t="s">
        <v>6271</v>
      </c>
      <c r="C199" s="76">
        <v>128</v>
      </c>
      <c r="D199" s="72" t="s">
        <v>6296</v>
      </c>
      <c r="E199" s="68" t="s">
        <v>19</v>
      </c>
      <c r="F199" s="74">
        <v>42474</v>
      </c>
      <c r="G199" s="83">
        <f>239.89</f>
        <v>239.89</v>
      </c>
      <c r="K199" s="133"/>
      <c r="L199" s="63"/>
      <c r="M199" s="63"/>
      <c r="N199" s="63"/>
      <c r="O199" s="63"/>
      <c r="P199" s="63"/>
      <c r="Q199" s="63">
        <f t="shared" si="12"/>
        <v>239.89</v>
      </c>
      <c r="R199" s="63">
        <f t="shared" si="13"/>
        <v>0</v>
      </c>
      <c r="S199" s="63">
        <f t="shared" si="14"/>
        <v>239.89</v>
      </c>
    </row>
    <row r="200" spans="1:19" x14ac:dyDescent="0.2">
      <c r="A200" s="68">
        <v>121919</v>
      </c>
      <c r="B200" s="68" t="s">
        <v>6271</v>
      </c>
      <c r="C200" s="76">
        <v>128</v>
      </c>
      <c r="D200" s="72" t="s">
        <v>6297</v>
      </c>
      <c r="E200" s="68" t="s">
        <v>19</v>
      </c>
      <c r="F200" s="74">
        <v>42474</v>
      </c>
      <c r="G200" s="83">
        <f>104.17</f>
        <v>104.17</v>
      </c>
      <c r="K200" s="133"/>
      <c r="L200" s="63"/>
      <c r="M200" s="63"/>
      <c r="N200" s="63"/>
      <c r="O200" s="63"/>
      <c r="P200" s="63"/>
      <c r="Q200" s="63">
        <f t="shared" si="12"/>
        <v>104.17</v>
      </c>
      <c r="R200" s="63">
        <f t="shared" si="13"/>
        <v>0</v>
      </c>
      <c r="S200" s="63">
        <f t="shared" si="14"/>
        <v>104.17</v>
      </c>
    </row>
    <row r="201" spans="1:19" x14ac:dyDescent="0.2">
      <c r="A201" s="68">
        <v>132573</v>
      </c>
      <c r="B201" s="68" t="s">
        <v>6272</v>
      </c>
      <c r="C201" s="76">
        <v>129</v>
      </c>
      <c r="D201" s="72" t="s">
        <v>6298</v>
      </c>
      <c r="E201" s="68" t="s">
        <v>19</v>
      </c>
      <c r="F201" s="74">
        <v>42475</v>
      </c>
      <c r="G201" s="83">
        <f>183.73</f>
        <v>183.73</v>
      </c>
      <c r="K201" s="133"/>
      <c r="L201" s="63"/>
      <c r="M201" s="63"/>
      <c r="N201" s="63"/>
      <c r="O201" s="63"/>
      <c r="P201" s="63"/>
      <c r="Q201" s="63">
        <f t="shared" si="12"/>
        <v>183.73</v>
      </c>
      <c r="R201" s="63">
        <f t="shared" si="13"/>
        <v>0</v>
      </c>
      <c r="S201" s="63">
        <f t="shared" si="14"/>
        <v>183.73</v>
      </c>
    </row>
    <row r="202" spans="1:19" x14ac:dyDescent="0.2">
      <c r="A202" s="71">
        <v>132696</v>
      </c>
      <c r="B202" s="71" t="s">
        <v>6273</v>
      </c>
      <c r="C202" s="76">
        <v>130</v>
      </c>
      <c r="D202" s="73" t="s">
        <v>6299</v>
      </c>
      <c r="E202" s="71" t="s">
        <v>19</v>
      </c>
      <c r="F202" s="75">
        <v>42476</v>
      </c>
      <c r="G202" s="83">
        <f>107</f>
        <v>107</v>
      </c>
      <c r="K202" s="133"/>
      <c r="L202" s="63"/>
      <c r="M202" s="63"/>
      <c r="N202" s="63"/>
      <c r="O202" s="63"/>
      <c r="P202" s="63"/>
      <c r="Q202" s="63">
        <f t="shared" si="12"/>
        <v>107</v>
      </c>
      <c r="R202" s="63">
        <f t="shared" si="13"/>
        <v>0</v>
      </c>
      <c r="S202" s="63">
        <f t="shared" si="14"/>
        <v>107</v>
      </c>
    </row>
    <row r="203" spans="1:19" x14ac:dyDescent="0.2">
      <c r="A203" s="68">
        <v>131706</v>
      </c>
      <c r="B203" s="68" t="s">
        <v>5007</v>
      </c>
      <c r="C203" s="76">
        <v>131</v>
      </c>
      <c r="D203" s="72" t="s">
        <v>6300</v>
      </c>
      <c r="E203" s="68" t="s">
        <v>19</v>
      </c>
      <c r="F203" s="74">
        <v>42477</v>
      </c>
      <c r="G203" s="83"/>
      <c r="K203" s="133"/>
      <c r="L203" s="63"/>
      <c r="M203" s="63"/>
      <c r="N203" s="63"/>
      <c r="O203" s="63"/>
      <c r="P203" s="63"/>
      <c r="Q203" s="63">
        <f t="shared" si="12"/>
        <v>0</v>
      </c>
      <c r="R203" s="63">
        <f t="shared" si="13"/>
        <v>0</v>
      </c>
      <c r="S203" s="63">
        <f t="shared" si="14"/>
        <v>0</v>
      </c>
    </row>
    <row r="204" spans="1:19" x14ac:dyDescent="0.2">
      <c r="A204" s="68">
        <v>124096</v>
      </c>
      <c r="B204" s="68" t="s">
        <v>6274</v>
      </c>
      <c r="C204" s="76">
        <v>132</v>
      </c>
      <c r="D204" s="72" t="s">
        <v>6301</v>
      </c>
      <c r="E204" s="68" t="s">
        <v>4064</v>
      </c>
      <c r="F204" s="74">
        <v>42477</v>
      </c>
      <c r="G204" s="83"/>
      <c r="K204" s="133"/>
      <c r="L204" s="63"/>
      <c r="M204" s="63">
        <v>3950</v>
      </c>
      <c r="N204" s="63"/>
      <c r="O204" s="63">
        <v>15800</v>
      </c>
      <c r="P204" s="63"/>
      <c r="Q204" s="63">
        <f t="shared" si="12"/>
        <v>19750</v>
      </c>
      <c r="R204" s="63">
        <f t="shared" si="13"/>
        <v>0</v>
      </c>
      <c r="S204" s="63">
        <f t="shared" si="14"/>
        <v>19750</v>
      </c>
    </row>
    <row r="205" spans="1:19" x14ac:dyDescent="0.2">
      <c r="A205" s="68">
        <v>118839</v>
      </c>
      <c r="B205" s="68" t="s">
        <v>6275</v>
      </c>
      <c r="C205" s="76">
        <v>133</v>
      </c>
      <c r="D205" s="72" t="s">
        <v>6302</v>
      </c>
      <c r="E205" s="68" t="s">
        <v>19</v>
      </c>
      <c r="F205" s="74">
        <v>42475</v>
      </c>
      <c r="G205" s="83">
        <f>178.4</f>
        <v>178.4</v>
      </c>
      <c r="K205" s="133"/>
      <c r="L205" s="63"/>
      <c r="M205" s="63"/>
      <c r="N205" s="63"/>
      <c r="O205" s="63"/>
      <c r="P205" s="63"/>
      <c r="Q205" s="63">
        <f t="shared" si="12"/>
        <v>178.4</v>
      </c>
      <c r="R205" s="63">
        <f t="shared" si="13"/>
        <v>0</v>
      </c>
      <c r="S205" s="63">
        <f t="shared" si="14"/>
        <v>178.4</v>
      </c>
    </row>
    <row r="206" spans="1:19" x14ac:dyDescent="0.2">
      <c r="A206" s="68">
        <v>117585</v>
      </c>
      <c r="B206" s="68" t="s">
        <v>6276</v>
      </c>
      <c r="C206" s="76">
        <v>134</v>
      </c>
      <c r="D206" s="72" t="s">
        <v>6303</v>
      </c>
      <c r="E206" s="68" t="s">
        <v>19</v>
      </c>
      <c r="F206" s="74">
        <v>42475</v>
      </c>
      <c r="G206" s="83">
        <f>349</f>
        <v>349</v>
      </c>
      <c r="K206" s="133"/>
      <c r="L206" s="63"/>
      <c r="M206" s="63"/>
      <c r="N206" s="63"/>
      <c r="O206" s="63"/>
      <c r="P206" s="63"/>
      <c r="Q206" s="63">
        <f t="shared" si="12"/>
        <v>349</v>
      </c>
      <c r="R206" s="63">
        <f t="shared" si="13"/>
        <v>0</v>
      </c>
      <c r="S206" s="63">
        <f t="shared" si="14"/>
        <v>349</v>
      </c>
    </row>
    <row r="207" spans="1:19" x14ac:dyDescent="0.2">
      <c r="A207" s="68">
        <v>118479</v>
      </c>
      <c r="B207" s="68" t="s">
        <v>6277</v>
      </c>
      <c r="C207" s="76">
        <v>135</v>
      </c>
      <c r="D207" s="72" t="s">
        <v>6304</v>
      </c>
      <c r="E207" s="68" t="s">
        <v>19</v>
      </c>
      <c r="F207" s="74">
        <v>42479</v>
      </c>
      <c r="G207" s="83">
        <v>393.53</v>
      </c>
      <c r="K207" s="133"/>
      <c r="L207" s="63"/>
      <c r="M207" s="63"/>
      <c r="N207" s="63"/>
      <c r="O207" s="63"/>
      <c r="P207" s="63"/>
      <c r="Q207" s="63">
        <f t="shared" si="12"/>
        <v>393.53</v>
      </c>
      <c r="R207" s="63">
        <f t="shared" si="13"/>
        <v>0</v>
      </c>
      <c r="S207" s="63">
        <f t="shared" si="14"/>
        <v>393.53</v>
      </c>
    </row>
    <row r="208" spans="1:19" x14ac:dyDescent="0.2">
      <c r="A208" s="68">
        <v>118479</v>
      </c>
      <c r="B208" s="68" t="s">
        <v>6277</v>
      </c>
      <c r="C208" s="76">
        <v>135</v>
      </c>
      <c r="D208" s="72" t="s">
        <v>6305</v>
      </c>
      <c r="E208" s="68" t="s">
        <v>19</v>
      </c>
      <c r="F208" s="74">
        <v>42479</v>
      </c>
      <c r="G208" s="83">
        <v>194.7</v>
      </c>
      <c r="K208" s="133"/>
      <c r="L208" s="63"/>
      <c r="M208" s="63"/>
      <c r="N208" s="63"/>
      <c r="O208" s="63"/>
      <c r="P208" s="63"/>
      <c r="Q208" s="63">
        <f t="shared" si="12"/>
        <v>194.7</v>
      </c>
      <c r="R208" s="63">
        <f t="shared" si="13"/>
        <v>0</v>
      </c>
      <c r="S208" s="63">
        <f t="shared" si="14"/>
        <v>194.7</v>
      </c>
    </row>
    <row r="209" spans="1:19" x14ac:dyDescent="0.2">
      <c r="A209" s="68">
        <v>127395</v>
      </c>
      <c r="B209" s="68" t="s">
        <v>6278</v>
      </c>
      <c r="C209" s="76">
        <v>136</v>
      </c>
      <c r="D209" s="72" t="s">
        <v>6306</v>
      </c>
      <c r="E209" s="68" t="s">
        <v>19</v>
      </c>
      <c r="F209" s="74">
        <v>42479</v>
      </c>
      <c r="G209" s="83">
        <f>265.97</f>
        <v>265.97000000000003</v>
      </c>
      <c r="I209" s="63">
        <v>750</v>
      </c>
      <c r="K209" s="133"/>
      <c r="L209" s="63"/>
      <c r="M209" s="63"/>
      <c r="N209" s="63"/>
      <c r="O209" s="63"/>
      <c r="P209" s="63"/>
      <c r="Q209" s="63">
        <f t="shared" si="12"/>
        <v>1015.97</v>
      </c>
      <c r="R209" s="63">
        <f t="shared" si="13"/>
        <v>0</v>
      </c>
      <c r="S209" s="63">
        <f t="shared" si="14"/>
        <v>1015.97</v>
      </c>
    </row>
    <row r="210" spans="1:19" x14ac:dyDescent="0.2">
      <c r="A210" s="68">
        <v>127672</v>
      </c>
      <c r="B210" s="68" t="s">
        <v>6279</v>
      </c>
      <c r="C210" s="76">
        <v>137</v>
      </c>
      <c r="D210" s="72" t="s">
        <v>6307</v>
      </c>
      <c r="E210" s="68" t="s">
        <v>19</v>
      </c>
      <c r="F210" s="74">
        <v>42479</v>
      </c>
      <c r="G210" s="83">
        <f>166.03+91.26+64.9+365.8+436.6+64.9+59+224.2</f>
        <v>1472.6900000000003</v>
      </c>
      <c r="I210" s="63">
        <v>1235</v>
      </c>
      <c r="K210" s="133"/>
      <c r="L210" s="63"/>
      <c r="M210" s="63"/>
      <c r="N210" s="63"/>
      <c r="O210" s="63"/>
      <c r="P210" s="63"/>
      <c r="Q210" s="63">
        <f t="shared" si="12"/>
        <v>2707.6900000000005</v>
      </c>
      <c r="R210" s="63">
        <f t="shared" si="13"/>
        <v>0</v>
      </c>
      <c r="S210" s="63">
        <f t="shared" si="14"/>
        <v>2707.6900000000005</v>
      </c>
    </row>
    <row r="211" spans="1:19" x14ac:dyDescent="0.2">
      <c r="A211" s="68">
        <v>121782</v>
      </c>
      <c r="B211" s="68" t="s">
        <v>6280</v>
      </c>
      <c r="C211" s="76">
        <v>138</v>
      </c>
      <c r="D211" s="72" t="s">
        <v>6308</v>
      </c>
      <c r="E211" s="68" t="s">
        <v>19</v>
      </c>
      <c r="F211" s="74">
        <v>42480</v>
      </c>
      <c r="G211" s="83">
        <f>207</f>
        <v>207</v>
      </c>
      <c r="I211" s="63">
        <f>813.33</f>
        <v>813.33</v>
      </c>
      <c r="K211" s="133"/>
      <c r="L211" s="63"/>
      <c r="M211" s="63"/>
      <c r="N211" s="63"/>
      <c r="O211" s="63"/>
      <c r="P211" s="63"/>
      <c r="Q211" s="63">
        <f t="shared" si="12"/>
        <v>1020.33</v>
      </c>
      <c r="R211" s="63">
        <f t="shared" si="13"/>
        <v>0</v>
      </c>
      <c r="S211" s="63">
        <f t="shared" si="14"/>
        <v>1020.33</v>
      </c>
    </row>
    <row r="212" spans="1:19" x14ac:dyDescent="0.2">
      <c r="A212" s="68">
        <v>117107</v>
      </c>
      <c r="B212" s="68" t="s">
        <v>6281</v>
      </c>
      <c r="C212" s="76">
        <v>139</v>
      </c>
      <c r="D212" s="72" t="s">
        <v>6309</v>
      </c>
      <c r="E212" s="68" t="s">
        <v>19</v>
      </c>
      <c r="F212" s="74">
        <v>42480</v>
      </c>
      <c r="G212" s="83">
        <f>558+498+273.8+353.5+41.3+226.04+76.58+90+141.58+30.72+244+155+209.25+41.3+1844+184.42+35+192.25</f>
        <v>5194.74</v>
      </c>
      <c r="I212" s="63">
        <f>1500+850+1600</f>
        <v>3950</v>
      </c>
      <c r="K212" s="133"/>
      <c r="L212" s="63"/>
      <c r="M212" s="63"/>
      <c r="N212" s="63"/>
      <c r="O212" s="63"/>
      <c r="P212" s="63"/>
      <c r="Q212" s="63">
        <f t="shared" si="12"/>
        <v>9144.74</v>
      </c>
      <c r="R212" s="63">
        <f t="shared" si="13"/>
        <v>0</v>
      </c>
      <c r="S212" s="63">
        <f t="shared" si="14"/>
        <v>9144.74</v>
      </c>
    </row>
    <row r="213" spans="1:19" x14ac:dyDescent="0.2">
      <c r="A213" s="68">
        <v>130859</v>
      </c>
      <c r="B213" s="68" t="s">
        <v>6282</v>
      </c>
      <c r="C213" s="76">
        <v>140</v>
      </c>
      <c r="D213" s="72" t="s">
        <v>6310</v>
      </c>
      <c r="E213" s="68" t="s">
        <v>19</v>
      </c>
      <c r="F213" s="74">
        <v>42481</v>
      </c>
      <c r="G213" s="83">
        <f>610+482.4+36.5</f>
        <v>1128.9000000000001</v>
      </c>
      <c r="K213" s="133"/>
      <c r="L213" s="63"/>
      <c r="M213" s="63"/>
      <c r="N213" s="63"/>
      <c r="O213" s="63"/>
      <c r="P213" s="63"/>
      <c r="Q213" s="63">
        <f t="shared" si="12"/>
        <v>1128.9000000000001</v>
      </c>
      <c r="R213" s="63">
        <f t="shared" si="13"/>
        <v>0</v>
      </c>
      <c r="S213" s="63">
        <f t="shared" si="14"/>
        <v>1128.9000000000001</v>
      </c>
    </row>
    <row r="214" spans="1:19" x14ac:dyDescent="0.2">
      <c r="A214" s="68">
        <v>120290</v>
      </c>
      <c r="B214" s="68" t="s">
        <v>6283</v>
      </c>
      <c r="C214" s="76">
        <v>141</v>
      </c>
      <c r="D214" s="72" t="s">
        <v>6438</v>
      </c>
      <c r="E214" s="68" t="s">
        <v>19</v>
      </c>
      <c r="F214" s="74">
        <v>42481</v>
      </c>
      <c r="G214" s="83">
        <f>430+3884.74+64.18+179.7+257.44+109.19+225+109.19+72.3+2528.99+28.47+59</f>
        <v>7948.1999999999989</v>
      </c>
      <c r="I214" s="63">
        <v>2545</v>
      </c>
      <c r="K214" s="133"/>
      <c r="L214" s="63"/>
      <c r="M214" s="63"/>
      <c r="N214" s="63"/>
      <c r="O214" s="63"/>
      <c r="P214" s="63"/>
      <c r="Q214" s="63">
        <f t="shared" si="12"/>
        <v>10493.199999999999</v>
      </c>
      <c r="R214" s="63">
        <f t="shared" si="13"/>
        <v>0</v>
      </c>
      <c r="S214" s="63">
        <f t="shared" si="14"/>
        <v>10493.199999999999</v>
      </c>
    </row>
    <row r="215" spans="1:19" x14ac:dyDescent="0.2">
      <c r="A215" s="71">
        <v>135742</v>
      </c>
      <c r="B215" s="71" t="s">
        <v>6284</v>
      </c>
      <c r="C215" s="76">
        <v>142</v>
      </c>
      <c r="D215" s="73" t="s">
        <v>6311</v>
      </c>
      <c r="E215" s="71" t="s">
        <v>19</v>
      </c>
      <c r="F215" s="75">
        <v>42483</v>
      </c>
      <c r="G215" s="83">
        <f>178</f>
        <v>178</v>
      </c>
      <c r="K215" s="133"/>
      <c r="L215" s="63"/>
      <c r="M215" s="63"/>
      <c r="N215" s="63"/>
      <c r="O215" s="63"/>
      <c r="P215" s="63"/>
      <c r="Q215" s="63">
        <f t="shared" si="12"/>
        <v>178</v>
      </c>
      <c r="R215" s="63">
        <f t="shared" si="13"/>
        <v>0</v>
      </c>
      <c r="S215" s="63">
        <f t="shared" si="14"/>
        <v>178</v>
      </c>
    </row>
    <row r="216" spans="1:19" x14ac:dyDescent="0.2">
      <c r="A216" s="68">
        <v>132020</v>
      </c>
      <c r="B216" s="68" t="s">
        <v>6285</v>
      </c>
      <c r="C216" s="76">
        <v>143</v>
      </c>
      <c r="D216" s="72" t="s">
        <v>6312</v>
      </c>
      <c r="E216" s="68" t="s">
        <v>19</v>
      </c>
      <c r="F216" s="74">
        <v>42483</v>
      </c>
      <c r="G216" s="83">
        <f>139.9</f>
        <v>139.9</v>
      </c>
      <c r="K216" s="133"/>
      <c r="L216" s="63"/>
      <c r="M216" s="63"/>
      <c r="N216" s="63"/>
      <c r="O216" s="63"/>
      <c r="P216" s="63"/>
      <c r="Q216" s="63">
        <f t="shared" si="12"/>
        <v>139.9</v>
      </c>
      <c r="R216" s="63">
        <f t="shared" si="13"/>
        <v>0</v>
      </c>
      <c r="S216" s="63">
        <f t="shared" si="14"/>
        <v>139.9</v>
      </c>
    </row>
    <row r="217" spans="1:19" x14ac:dyDescent="0.2">
      <c r="A217" s="68">
        <v>126408</v>
      </c>
      <c r="B217" s="68" t="s">
        <v>6286</v>
      </c>
      <c r="C217" s="76">
        <v>144</v>
      </c>
      <c r="D217" s="72" t="s">
        <v>6313</v>
      </c>
      <c r="E217" s="68" t="s">
        <v>19</v>
      </c>
      <c r="F217" s="74">
        <v>42483</v>
      </c>
      <c r="G217" s="83">
        <f>310.1</f>
        <v>310.10000000000002</v>
      </c>
      <c r="K217" s="133"/>
      <c r="L217" s="63"/>
      <c r="M217" s="63"/>
      <c r="N217" s="63"/>
      <c r="O217" s="63"/>
      <c r="P217" s="63"/>
      <c r="Q217" s="63">
        <f t="shared" si="12"/>
        <v>310.10000000000002</v>
      </c>
      <c r="R217" s="63">
        <f t="shared" si="13"/>
        <v>0</v>
      </c>
      <c r="S217" s="63">
        <f t="shared" si="14"/>
        <v>310.10000000000002</v>
      </c>
    </row>
    <row r="218" spans="1:19" x14ac:dyDescent="0.2">
      <c r="A218" s="68">
        <v>133164</v>
      </c>
      <c r="B218" s="68" t="s">
        <v>6287</v>
      </c>
      <c r="C218" s="76">
        <v>145</v>
      </c>
      <c r="D218" s="72" t="s">
        <v>6314</v>
      </c>
      <c r="E218" s="68" t="s">
        <v>19</v>
      </c>
      <c r="F218" s="74">
        <v>42484</v>
      </c>
      <c r="G218" s="83">
        <f>169</f>
        <v>169</v>
      </c>
      <c r="K218" s="133"/>
      <c r="L218" s="63"/>
      <c r="M218" s="63"/>
      <c r="N218" s="63"/>
      <c r="O218" s="63"/>
      <c r="P218" s="63"/>
      <c r="Q218" s="63">
        <f t="shared" si="12"/>
        <v>169</v>
      </c>
      <c r="R218" s="63">
        <f t="shared" si="13"/>
        <v>0</v>
      </c>
      <c r="S218" s="63">
        <f t="shared" si="14"/>
        <v>169</v>
      </c>
    </row>
    <row r="219" spans="1:19" x14ac:dyDescent="0.2">
      <c r="A219" s="68">
        <v>129348</v>
      </c>
      <c r="B219" s="68" t="s">
        <v>6288</v>
      </c>
      <c r="C219" s="76">
        <v>146</v>
      </c>
      <c r="D219" s="72" t="s">
        <v>6315</v>
      </c>
      <c r="E219" s="68" t="s">
        <v>19</v>
      </c>
      <c r="F219" s="74">
        <v>42485</v>
      </c>
      <c r="G219" s="83">
        <f>49</f>
        <v>49</v>
      </c>
      <c r="K219" s="133"/>
      <c r="L219" s="63"/>
      <c r="M219" s="63"/>
      <c r="N219" s="63"/>
      <c r="O219" s="63"/>
      <c r="P219" s="63"/>
      <c r="Q219" s="63">
        <f t="shared" si="12"/>
        <v>49</v>
      </c>
      <c r="R219" s="63">
        <f t="shared" si="13"/>
        <v>0</v>
      </c>
      <c r="S219" s="63">
        <f t="shared" si="14"/>
        <v>49</v>
      </c>
    </row>
    <row r="220" spans="1:19" x14ac:dyDescent="0.2">
      <c r="A220" s="68">
        <v>129348</v>
      </c>
      <c r="B220" s="68" t="s">
        <v>6288</v>
      </c>
      <c r="C220" s="76">
        <v>146</v>
      </c>
      <c r="D220" s="72" t="s">
        <v>6316</v>
      </c>
      <c r="E220" s="68" t="s">
        <v>19</v>
      </c>
      <c r="F220" s="74">
        <v>42485</v>
      </c>
      <c r="G220" s="83">
        <f>41.8</f>
        <v>41.8</v>
      </c>
      <c r="K220" s="133"/>
      <c r="L220" s="63"/>
      <c r="M220" s="63"/>
      <c r="N220" s="63"/>
      <c r="O220" s="63"/>
      <c r="P220" s="63"/>
      <c r="Q220" s="63">
        <f t="shared" si="12"/>
        <v>41.8</v>
      </c>
      <c r="R220" s="63">
        <f t="shared" si="13"/>
        <v>0</v>
      </c>
      <c r="S220" s="63">
        <f t="shared" si="14"/>
        <v>41.8</v>
      </c>
    </row>
    <row r="221" spans="1:19" x14ac:dyDescent="0.2">
      <c r="A221" s="68">
        <v>129348</v>
      </c>
      <c r="B221" s="68" t="s">
        <v>6288</v>
      </c>
      <c r="C221" s="76">
        <v>146</v>
      </c>
      <c r="D221" s="72" t="s">
        <v>6317</v>
      </c>
      <c r="E221" s="68" t="s">
        <v>19</v>
      </c>
      <c r="F221" s="74">
        <v>42485</v>
      </c>
      <c r="G221" s="83">
        <f>70.4</f>
        <v>70.400000000000006</v>
      </c>
      <c r="K221" s="133"/>
      <c r="L221" s="63"/>
      <c r="M221" s="63"/>
      <c r="N221" s="63"/>
      <c r="O221" s="63"/>
      <c r="P221" s="63"/>
      <c r="Q221" s="63">
        <f t="shared" si="12"/>
        <v>70.400000000000006</v>
      </c>
      <c r="R221" s="63">
        <f t="shared" si="13"/>
        <v>0</v>
      </c>
      <c r="S221" s="63">
        <f t="shared" si="14"/>
        <v>70.400000000000006</v>
      </c>
    </row>
    <row r="222" spans="1:19" x14ac:dyDescent="0.2">
      <c r="A222" s="71">
        <v>133675</v>
      </c>
      <c r="B222" s="71" t="s">
        <v>6289</v>
      </c>
      <c r="C222" s="76">
        <v>147</v>
      </c>
      <c r="D222" s="73" t="s">
        <v>6318</v>
      </c>
      <c r="E222" s="71" t="s">
        <v>19</v>
      </c>
      <c r="F222" s="75">
        <v>42486</v>
      </c>
      <c r="G222" s="83">
        <f>7239.15+1274+966.6+1325</f>
        <v>10804.75</v>
      </c>
      <c r="I222" s="63">
        <v>2250</v>
      </c>
      <c r="K222" s="133"/>
      <c r="L222" s="63"/>
      <c r="M222" s="63"/>
      <c r="N222" s="63"/>
      <c r="O222" s="63"/>
      <c r="P222" s="63"/>
      <c r="Q222" s="63">
        <f t="shared" si="12"/>
        <v>13054.75</v>
      </c>
      <c r="R222" s="63">
        <f t="shared" si="13"/>
        <v>0</v>
      </c>
      <c r="S222" s="63">
        <f t="shared" si="14"/>
        <v>13054.75</v>
      </c>
    </row>
    <row r="223" spans="1:19" x14ac:dyDescent="0.2">
      <c r="A223" s="71">
        <v>133675</v>
      </c>
      <c r="B223" s="71" t="s">
        <v>6289</v>
      </c>
      <c r="C223" s="76">
        <v>147</v>
      </c>
      <c r="D223" s="73" t="s">
        <v>6319</v>
      </c>
      <c r="E223" s="71" t="s">
        <v>19</v>
      </c>
      <c r="F223" s="75">
        <v>42486</v>
      </c>
      <c r="G223" s="83"/>
      <c r="K223" s="133"/>
      <c r="L223" s="63"/>
      <c r="M223" s="63"/>
      <c r="N223" s="63"/>
      <c r="O223" s="63"/>
      <c r="P223" s="63"/>
      <c r="Q223" s="63">
        <f t="shared" ref="Q223:Q286" si="15">+G223+I223+K223+M223+O223</f>
        <v>0</v>
      </c>
      <c r="R223" s="63">
        <f t="shared" ref="R223:R286" si="16">+H223+J223+L223+N223+P223</f>
        <v>0</v>
      </c>
      <c r="S223" s="63">
        <f t="shared" ref="S223:S286" si="17">+Q223+R223</f>
        <v>0</v>
      </c>
    </row>
    <row r="224" spans="1:19" x14ac:dyDescent="0.2">
      <c r="A224" s="68">
        <v>133508</v>
      </c>
      <c r="B224" s="68" t="s">
        <v>6290</v>
      </c>
      <c r="C224" s="76">
        <v>148</v>
      </c>
      <c r="D224" s="72" t="s">
        <v>6320</v>
      </c>
      <c r="E224" s="68" t="s">
        <v>19</v>
      </c>
      <c r="F224" s="74">
        <v>42486</v>
      </c>
      <c r="G224" s="83">
        <f>161.66</f>
        <v>161.66</v>
      </c>
      <c r="K224" s="133"/>
      <c r="L224" s="63"/>
      <c r="M224" s="63"/>
      <c r="N224" s="63"/>
      <c r="O224" s="63"/>
      <c r="P224" s="63"/>
      <c r="Q224" s="63">
        <f t="shared" si="15"/>
        <v>161.66</v>
      </c>
      <c r="R224" s="63">
        <f t="shared" si="16"/>
        <v>0</v>
      </c>
      <c r="S224" s="63">
        <f t="shared" si="17"/>
        <v>161.66</v>
      </c>
    </row>
    <row r="225" spans="1:19" x14ac:dyDescent="0.2">
      <c r="A225" s="68">
        <v>126070</v>
      </c>
      <c r="B225" s="68" t="s">
        <v>6291</v>
      </c>
      <c r="C225" s="76">
        <v>149</v>
      </c>
      <c r="D225" s="72" t="s">
        <v>6321</v>
      </c>
      <c r="E225" s="68" t="s">
        <v>19</v>
      </c>
      <c r="F225" s="74">
        <v>42487</v>
      </c>
      <c r="G225" s="83">
        <f>293.4+100.32+41.3+98.33+41.3+633.32+41.3+129.02</f>
        <v>1378.29</v>
      </c>
      <c r="I225" s="63">
        <v>3950</v>
      </c>
      <c r="K225" s="133"/>
      <c r="L225" s="63"/>
      <c r="M225" s="63"/>
      <c r="N225" s="63"/>
      <c r="O225" s="63"/>
      <c r="P225" s="63"/>
      <c r="Q225" s="63">
        <f t="shared" si="15"/>
        <v>5328.29</v>
      </c>
      <c r="R225" s="63">
        <f t="shared" si="16"/>
        <v>0</v>
      </c>
      <c r="S225" s="63">
        <f t="shared" si="17"/>
        <v>5328.29</v>
      </c>
    </row>
    <row r="226" spans="1:19" x14ac:dyDescent="0.2">
      <c r="A226" s="68">
        <v>123703</v>
      </c>
      <c r="B226" s="68" t="s">
        <v>6292</v>
      </c>
      <c r="C226" s="76">
        <v>150</v>
      </c>
      <c r="D226" s="72" t="s">
        <v>6322</v>
      </c>
      <c r="E226" s="68" t="s">
        <v>19</v>
      </c>
      <c r="F226" s="74">
        <v>42489</v>
      </c>
      <c r="G226" s="83">
        <f>320+1430+572.1+4567.64+1459.2+1231.58+977.31+482.25+81.3+1649+117.56</f>
        <v>12887.939999999999</v>
      </c>
      <c r="K226" s="133"/>
      <c r="L226" s="63"/>
      <c r="M226" s="63"/>
      <c r="N226" s="63"/>
      <c r="O226" s="63"/>
      <c r="P226" s="63"/>
      <c r="Q226" s="63">
        <f t="shared" si="15"/>
        <v>12887.939999999999</v>
      </c>
      <c r="R226" s="63">
        <f t="shared" si="16"/>
        <v>0</v>
      </c>
      <c r="S226" s="63">
        <f t="shared" si="17"/>
        <v>12887.939999999999</v>
      </c>
    </row>
    <row r="227" spans="1:19" x14ac:dyDescent="0.2">
      <c r="A227" s="68">
        <v>123387</v>
      </c>
      <c r="B227" s="68" t="s">
        <v>6293</v>
      </c>
      <c r="C227" s="76">
        <v>151</v>
      </c>
      <c r="D227" s="72" t="s">
        <v>6323</v>
      </c>
      <c r="E227" s="68" t="s">
        <v>19</v>
      </c>
      <c r="F227" s="74">
        <v>42489</v>
      </c>
      <c r="G227" s="83">
        <f>134.6</f>
        <v>134.6</v>
      </c>
      <c r="K227" s="133"/>
      <c r="L227" s="63"/>
      <c r="M227" s="63"/>
      <c r="N227" s="63"/>
      <c r="O227" s="63"/>
      <c r="P227" s="63"/>
      <c r="Q227" s="63">
        <f t="shared" si="15"/>
        <v>134.6</v>
      </c>
      <c r="R227" s="63">
        <f t="shared" si="16"/>
        <v>0</v>
      </c>
      <c r="S227" s="63">
        <f t="shared" si="17"/>
        <v>134.6</v>
      </c>
    </row>
    <row r="228" spans="1:19" x14ac:dyDescent="0.2">
      <c r="A228" s="68">
        <v>131281</v>
      </c>
      <c r="B228" s="68" t="s">
        <v>6294</v>
      </c>
      <c r="C228" s="76">
        <v>152</v>
      </c>
      <c r="D228" s="72" t="s">
        <v>6324</v>
      </c>
      <c r="E228" s="68" t="s">
        <v>19</v>
      </c>
      <c r="F228" s="74">
        <v>42490</v>
      </c>
      <c r="G228" s="83">
        <f>51.6</f>
        <v>51.6</v>
      </c>
      <c r="K228" s="133"/>
      <c r="L228" s="63"/>
      <c r="M228" s="63"/>
      <c r="N228" s="63"/>
      <c r="O228" s="63"/>
      <c r="P228" s="63"/>
      <c r="Q228" s="63">
        <f t="shared" si="15"/>
        <v>51.6</v>
      </c>
      <c r="R228" s="63">
        <f t="shared" si="16"/>
        <v>0</v>
      </c>
      <c r="S228" s="63">
        <f t="shared" si="17"/>
        <v>51.6</v>
      </c>
    </row>
    <row r="229" spans="1:19" x14ac:dyDescent="0.2">
      <c r="A229" s="68">
        <v>126230</v>
      </c>
      <c r="B229" s="68" t="s">
        <v>6327</v>
      </c>
      <c r="C229" s="76">
        <v>153</v>
      </c>
      <c r="D229" s="72" t="s">
        <v>6367</v>
      </c>
      <c r="E229" s="68" t="s">
        <v>19</v>
      </c>
      <c r="F229" s="74">
        <v>42491</v>
      </c>
      <c r="G229" s="83">
        <f>178.82</f>
        <v>178.82</v>
      </c>
      <c r="K229" s="133"/>
      <c r="L229" s="63"/>
      <c r="M229" s="63"/>
      <c r="N229" s="63"/>
      <c r="O229" s="63"/>
      <c r="P229" s="63"/>
      <c r="Q229" s="63">
        <f t="shared" si="15"/>
        <v>178.82</v>
      </c>
      <c r="R229" s="63">
        <f t="shared" si="16"/>
        <v>0</v>
      </c>
      <c r="S229" s="63">
        <f t="shared" si="17"/>
        <v>178.82</v>
      </c>
    </row>
    <row r="230" spans="1:19" x14ac:dyDescent="0.2">
      <c r="A230" s="68">
        <v>118638</v>
      </c>
      <c r="B230" s="68" t="s">
        <v>6328</v>
      </c>
      <c r="C230" s="76">
        <v>154</v>
      </c>
      <c r="D230" s="72" t="s">
        <v>6368</v>
      </c>
      <c r="E230" s="68" t="s">
        <v>19</v>
      </c>
      <c r="F230" s="74">
        <v>42491</v>
      </c>
      <c r="G230" s="83">
        <f>50.1</f>
        <v>50.1</v>
      </c>
      <c r="K230" s="133"/>
      <c r="L230" s="63"/>
      <c r="M230" s="63"/>
      <c r="N230" s="63"/>
      <c r="O230" s="63"/>
      <c r="P230" s="63"/>
      <c r="Q230" s="63">
        <f t="shared" si="15"/>
        <v>50.1</v>
      </c>
      <c r="R230" s="63">
        <f t="shared" si="16"/>
        <v>0</v>
      </c>
      <c r="S230" s="63">
        <f t="shared" si="17"/>
        <v>50.1</v>
      </c>
    </row>
    <row r="231" spans="1:19" x14ac:dyDescent="0.2">
      <c r="A231" s="68">
        <v>106821</v>
      </c>
      <c r="B231" s="68" t="s">
        <v>6329</v>
      </c>
      <c r="C231" s="76">
        <v>155</v>
      </c>
      <c r="D231" s="72" t="s">
        <v>6369</v>
      </c>
      <c r="E231" s="68" t="s">
        <v>19</v>
      </c>
      <c r="F231" s="74">
        <v>42492</v>
      </c>
      <c r="G231" s="83">
        <f>48.6</f>
        <v>48.6</v>
      </c>
      <c r="K231" s="133"/>
      <c r="L231" s="63"/>
      <c r="M231" s="63"/>
      <c r="N231" s="63"/>
      <c r="O231" s="63"/>
      <c r="P231" s="63"/>
      <c r="Q231" s="63">
        <f t="shared" si="15"/>
        <v>48.6</v>
      </c>
      <c r="R231" s="63">
        <f t="shared" si="16"/>
        <v>0</v>
      </c>
      <c r="S231" s="63">
        <f t="shared" si="17"/>
        <v>48.6</v>
      </c>
    </row>
    <row r="232" spans="1:19" x14ac:dyDescent="0.2">
      <c r="A232" s="68">
        <v>103247</v>
      </c>
      <c r="B232" s="68" t="s">
        <v>6330</v>
      </c>
      <c r="C232" s="76">
        <v>157</v>
      </c>
      <c r="D232" s="72" t="s">
        <v>6370</v>
      </c>
      <c r="E232" s="68" t="s">
        <v>19</v>
      </c>
      <c r="F232" s="74">
        <v>42486</v>
      </c>
      <c r="G232" s="83"/>
      <c r="K232" s="133"/>
      <c r="L232" s="63"/>
      <c r="M232" s="63">
        <v>3850</v>
      </c>
      <c r="N232" s="63"/>
      <c r="O232" s="63">
        <v>15400</v>
      </c>
      <c r="P232" s="63"/>
      <c r="Q232" s="63">
        <f t="shared" si="15"/>
        <v>19250</v>
      </c>
      <c r="R232" s="63">
        <f t="shared" si="16"/>
        <v>0</v>
      </c>
      <c r="S232" s="63">
        <f t="shared" si="17"/>
        <v>19250</v>
      </c>
    </row>
    <row r="233" spans="1:19" x14ac:dyDescent="0.2">
      <c r="A233" s="68">
        <v>103247</v>
      </c>
      <c r="B233" s="68" t="s">
        <v>6330</v>
      </c>
      <c r="C233" s="76">
        <v>157</v>
      </c>
      <c r="D233" s="72" t="s">
        <v>6371</v>
      </c>
      <c r="E233" s="68" t="s">
        <v>19</v>
      </c>
      <c r="F233" s="74">
        <v>42486</v>
      </c>
      <c r="G233" s="83"/>
      <c r="K233" s="133"/>
      <c r="L233" s="63"/>
      <c r="M233" s="63"/>
      <c r="N233" s="63"/>
      <c r="O233" s="63"/>
      <c r="P233" s="63"/>
      <c r="Q233" s="63">
        <f t="shared" si="15"/>
        <v>0</v>
      </c>
      <c r="R233" s="63">
        <f t="shared" si="16"/>
        <v>0</v>
      </c>
      <c r="S233" s="63">
        <f t="shared" si="17"/>
        <v>0</v>
      </c>
    </row>
    <row r="234" spans="1:19" x14ac:dyDescent="0.2">
      <c r="A234" s="68">
        <v>127021</v>
      </c>
      <c r="B234" s="68" t="s">
        <v>6331</v>
      </c>
      <c r="C234" s="76">
        <v>158</v>
      </c>
      <c r="D234" s="72" t="s">
        <v>6372</v>
      </c>
      <c r="E234" s="68" t="s">
        <v>19</v>
      </c>
      <c r="F234" s="74">
        <v>42493</v>
      </c>
      <c r="G234" s="83">
        <f>558+41.3+261.3+261.3</f>
        <v>1121.8999999999999</v>
      </c>
      <c r="K234" s="133"/>
      <c r="L234" s="63"/>
      <c r="M234" s="63"/>
      <c r="N234" s="63"/>
      <c r="O234" s="63"/>
      <c r="P234" s="63"/>
      <c r="Q234" s="63">
        <f t="shared" si="15"/>
        <v>1121.8999999999999</v>
      </c>
      <c r="R234" s="63">
        <f t="shared" si="16"/>
        <v>0</v>
      </c>
      <c r="S234" s="63">
        <f t="shared" si="17"/>
        <v>1121.8999999999999</v>
      </c>
    </row>
    <row r="235" spans="1:19" x14ac:dyDescent="0.2">
      <c r="A235" s="71">
        <v>134858</v>
      </c>
      <c r="B235" s="71" t="s">
        <v>6332</v>
      </c>
      <c r="C235" s="76">
        <v>159</v>
      </c>
      <c r="D235" s="73" t="s">
        <v>6373</v>
      </c>
      <c r="E235" s="71" t="s">
        <v>19</v>
      </c>
      <c r="F235" s="75">
        <v>42493</v>
      </c>
      <c r="G235" s="83">
        <f>103.6+35</f>
        <v>138.6</v>
      </c>
      <c r="K235" s="133"/>
      <c r="L235" s="63"/>
      <c r="M235" s="63"/>
      <c r="N235" s="63"/>
      <c r="O235" s="63"/>
      <c r="P235" s="63"/>
      <c r="Q235" s="63">
        <f t="shared" si="15"/>
        <v>138.6</v>
      </c>
      <c r="R235" s="63">
        <f t="shared" si="16"/>
        <v>0</v>
      </c>
      <c r="S235" s="63">
        <f t="shared" si="17"/>
        <v>138.6</v>
      </c>
    </row>
    <row r="236" spans="1:19" x14ac:dyDescent="0.2">
      <c r="A236" s="68">
        <v>127596</v>
      </c>
      <c r="B236" s="68" t="s">
        <v>6333</v>
      </c>
      <c r="C236" s="76">
        <v>160</v>
      </c>
      <c r="D236" s="72" t="s">
        <v>6374</v>
      </c>
      <c r="E236" s="68" t="s">
        <v>19</v>
      </c>
      <c r="F236" s="74">
        <v>42495</v>
      </c>
      <c r="G236" s="83">
        <f>151.28</f>
        <v>151.28</v>
      </c>
      <c r="K236" s="133"/>
      <c r="L236" s="63"/>
      <c r="M236" s="63"/>
      <c r="N236" s="63"/>
      <c r="O236" s="63"/>
      <c r="P236" s="63"/>
      <c r="Q236" s="63">
        <f t="shared" si="15"/>
        <v>151.28</v>
      </c>
      <c r="R236" s="63">
        <f t="shared" si="16"/>
        <v>0</v>
      </c>
      <c r="S236" s="63">
        <f t="shared" si="17"/>
        <v>151.28</v>
      </c>
    </row>
    <row r="237" spans="1:19" x14ac:dyDescent="0.2">
      <c r="A237" s="68">
        <v>127596</v>
      </c>
      <c r="B237" s="68" t="s">
        <v>6333</v>
      </c>
      <c r="C237" s="76">
        <v>160</v>
      </c>
      <c r="D237" s="72" t="s">
        <v>6375</v>
      </c>
      <c r="E237" s="68" t="s">
        <v>19</v>
      </c>
      <c r="F237" s="74">
        <v>42495</v>
      </c>
      <c r="G237" s="83">
        <f>102.37</f>
        <v>102.37</v>
      </c>
      <c r="K237" s="133"/>
      <c r="L237" s="63"/>
      <c r="M237" s="63"/>
      <c r="N237" s="63"/>
      <c r="O237" s="63"/>
      <c r="P237" s="63"/>
      <c r="Q237" s="63">
        <f t="shared" si="15"/>
        <v>102.37</v>
      </c>
      <c r="R237" s="63">
        <f t="shared" si="16"/>
        <v>0</v>
      </c>
      <c r="S237" s="63">
        <f t="shared" si="17"/>
        <v>102.37</v>
      </c>
    </row>
    <row r="238" spans="1:19" x14ac:dyDescent="0.2">
      <c r="A238" s="68">
        <v>127596</v>
      </c>
      <c r="B238" s="68" t="s">
        <v>6333</v>
      </c>
      <c r="C238" s="76">
        <v>160</v>
      </c>
      <c r="D238" s="72" t="s">
        <v>6376</v>
      </c>
      <c r="E238" s="68" t="s">
        <v>19</v>
      </c>
      <c r="F238" s="74">
        <v>42495</v>
      </c>
      <c r="G238" s="83">
        <f>124.14</f>
        <v>124.14</v>
      </c>
      <c r="K238" s="133"/>
      <c r="L238" s="63"/>
      <c r="M238" s="63"/>
      <c r="N238" s="63"/>
      <c r="O238" s="63"/>
      <c r="P238" s="63"/>
      <c r="Q238" s="63">
        <f t="shared" si="15"/>
        <v>124.14</v>
      </c>
      <c r="R238" s="63">
        <f t="shared" si="16"/>
        <v>0</v>
      </c>
      <c r="S238" s="63">
        <f t="shared" si="17"/>
        <v>124.14</v>
      </c>
    </row>
    <row r="239" spans="1:19" x14ac:dyDescent="0.2">
      <c r="A239" s="68">
        <v>118448</v>
      </c>
      <c r="B239" s="68" t="s">
        <v>6334</v>
      </c>
      <c r="C239" s="76" t="s">
        <v>6326</v>
      </c>
      <c r="D239" s="72" t="s">
        <v>6377</v>
      </c>
      <c r="E239" s="68" t="s">
        <v>19</v>
      </c>
      <c r="F239" s="74">
        <v>42495</v>
      </c>
      <c r="G239" s="83">
        <f>47.2</f>
        <v>47.2</v>
      </c>
      <c r="K239" s="133"/>
      <c r="L239" s="63"/>
      <c r="M239" s="63"/>
      <c r="N239" s="63"/>
      <c r="O239" s="63"/>
      <c r="P239" s="63"/>
      <c r="Q239" s="63">
        <f t="shared" si="15"/>
        <v>47.2</v>
      </c>
      <c r="R239" s="63">
        <f t="shared" si="16"/>
        <v>0</v>
      </c>
      <c r="S239" s="63">
        <f t="shared" si="17"/>
        <v>47.2</v>
      </c>
    </row>
    <row r="240" spans="1:19" x14ac:dyDescent="0.2">
      <c r="A240" s="68">
        <v>118448</v>
      </c>
      <c r="B240" s="68" t="s">
        <v>6334</v>
      </c>
      <c r="C240" s="76" t="s">
        <v>6326</v>
      </c>
      <c r="D240" s="72" t="s">
        <v>6378</v>
      </c>
      <c r="E240" s="68" t="s">
        <v>19</v>
      </c>
      <c r="F240" s="74">
        <v>42495</v>
      </c>
      <c r="G240" s="83">
        <f>114.05</f>
        <v>114.05</v>
      </c>
      <c r="K240" s="133"/>
      <c r="L240" s="63"/>
      <c r="M240" s="63"/>
      <c r="N240" s="63"/>
      <c r="O240" s="63"/>
      <c r="P240" s="63"/>
      <c r="Q240" s="63">
        <f t="shared" si="15"/>
        <v>114.05</v>
      </c>
      <c r="R240" s="63">
        <f t="shared" si="16"/>
        <v>0</v>
      </c>
      <c r="S240" s="63">
        <f t="shared" si="17"/>
        <v>114.05</v>
      </c>
    </row>
    <row r="241" spans="1:19" x14ac:dyDescent="0.2">
      <c r="A241" s="68">
        <v>118448</v>
      </c>
      <c r="B241" s="68" t="s">
        <v>6334</v>
      </c>
      <c r="C241" s="76" t="s">
        <v>6326</v>
      </c>
      <c r="D241" s="72" t="s">
        <v>6379</v>
      </c>
      <c r="E241" s="68" t="s">
        <v>19</v>
      </c>
      <c r="F241" s="74">
        <v>42495</v>
      </c>
      <c r="G241" s="83">
        <f>47.2</f>
        <v>47.2</v>
      </c>
      <c r="K241" s="133"/>
      <c r="L241" s="63"/>
      <c r="M241" s="63"/>
      <c r="N241" s="63"/>
      <c r="O241" s="63"/>
      <c r="P241" s="63"/>
      <c r="Q241" s="63">
        <f t="shared" si="15"/>
        <v>47.2</v>
      </c>
      <c r="R241" s="63">
        <f t="shared" si="16"/>
        <v>0</v>
      </c>
      <c r="S241" s="63">
        <f t="shared" si="17"/>
        <v>47.2</v>
      </c>
    </row>
    <row r="242" spans="1:19" x14ac:dyDescent="0.2">
      <c r="A242" s="68">
        <v>119286</v>
      </c>
      <c r="B242" s="68" t="s">
        <v>6335</v>
      </c>
      <c r="C242" s="76">
        <v>161</v>
      </c>
      <c r="D242" s="72" t="s">
        <v>6380</v>
      </c>
      <c r="E242" s="68" t="s">
        <v>19</v>
      </c>
      <c r="F242" s="74">
        <v>42495</v>
      </c>
      <c r="G242" s="83">
        <f>558+118+94.99+245.66+164.02+335+335+754.07</f>
        <v>2604.7400000000002</v>
      </c>
      <c r="I242" s="63">
        <v>538.33000000000004</v>
      </c>
      <c r="K242" s="133"/>
      <c r="L242" s="63"/>
      <c r="M242" s="63"/>
      <c r="N242" s="63"/>
      <c r="O242" s="63"/>
      <c r="P242" s="63"/>
      <c r="Q242" s="63">
        <f t="shared" si="15"/>
        <v>3143.07</v>
      </c>
      <c r="R242" s="63">
        <f t="shared" si="16"/>
        <v>0</v>
      </c>
      <c r="S242" s="63">
        <f t="shared" si="17"/>
        <v>3143.07</v>
      </c>
    </row>
    <row r="243" spans="1:19" x14ac:dyDescent="0.2">
      <c r="A243" s="68">
        <v>119286</v>
      </c>
      <c r="B243" s="68" t="s">
        <v>6335</v>
      </c>
      <c r="C243" s="76">
        <v>161</v>
      </c>
      <c r="D243" s="72" t="s">
        <v>6381</v>
      </c>
      <c r="E243" s="68" t="s">
        <v>19</v>
      </c>
      <c r="F243" s="74">
        <v>42495</v>
      </c>
      <c r="G243" s="83">
        <f>83.43</f>
        <v>83.43</v>
      </c>
      <c r="K243" s="133"/>
      <c r="L243" s="63"/>
      <c r="M243" s="63"/>
      <c r="N243" s="63"/>
      <c r="O243" s="63"/>
      <c r="P243" s="63"/>
      <c r="Q243" s="63">
        <f t="shared" si="15"/>
        <v>83.43</v>
      </c>
      <c r="R243" s="63">
        <f t="shared" si="16"/>
        <v>0</v>
      </c>
      <c r="S243" s="63">
        <f t="shared" si="17"/>
        <v>83.43</v>
      </c>
    </row>
    <row r="244" spans="1:19" x14ac:dyDescent="0.2">
      <c r="A244" s="71">
        <v>135329</v>
      </c>
      <c r="B244" s="71" t="s">
        <v>6336</v>
      </c>
      <c r="C244" s="76">
        <v>162</v>
      </c>
      <c r="D244" s="73" t="s">
        <v>6382</v>
      </c>
      <c r="E244" s="71" t="s">
        <v>19</v>
      </c>
      <c r="F244" s="75">
        <v>42495</v>
      </c>
      <c r="G244" s="83">
        <f>119.36</f>
        <v>119.36</v>
      </c>
      <c r="K244" s="133"/>
      <c r="L244" s="63"/>
      <c r="M244" s="63"/>
      <c r="N244" s="63"/>
      <c r="O244" s="63"/>
      <c r="P244" s="63"/>
      <c r="Q244" s="63">
        <f t="shared" si="15"/>
        <v>119.36</v>
      </c>
      <c r="R244" s="63">
        <f t="shared" si="16"/>
        <v>0</v>
      </c>
      <c r="S244" s="63">
        <f t="shared" si="17"/>
        <v>119.36</v>
      </c>
    </row>
    <row r="245" spans="1:19" x14ac:dyDescent="0.2">
      <c r="A245" s="68">
        <v>132312</v>
      </c>
      <c r="B245" s="68" t="s">
        <v>6337</v>
      </c>
      <c r="C245" s="76">
        <v>163</v>
      </c>
      <c r="D245" s="72" t="s">
        <v>6383</v>
      </c>
      <c r="E245" s="68" t="s">
        <v>4179</v>
      </c>
      <c r="F245" s="74">
        <v>42497</v>
      </c>
      <c r="G245" s="83">
        <f>59</f>
        <v>59</v>
      </c>
      <c r="K245" s="133"/>
      <c r="L245" s="63"/>
      <c r="M245" s="63"/>
      <c r="N245" s="63"/>
      <c r="O245" s="63"/>
      <c r="P245" s="63"/>
      <c r="Q245" s="63">
        <f t="shared" si="15"/>
        <v>59</v>
      </c>
      <c r="R245" s="63">
        <f t="shared" si="16"/>
        <v>0</v>
      </c>
      <c r="S245" s="63">
        <f t="shared" si="17"/>
        <v>59</v>
      </c>
    </row>
    <row r="246" spans="1:19" x14ac:dyDescent="0.2">
      <c r="A246" s="68">
        <v>128294</v>
      </c>
      <c r="B246" s="68" t="s">
        <v>6338</v>
      </c>
      <c r="C246" s="76">
        <v>164</v>
      </c>
      <c r="D246" s="72" t="s">
        <v>6384</v>
      </c>
      <c r="E246" s="68" t="s">
        <v>19</v>
      </c>
      <c r="F246" s="74">
        <v>42498</v>
      </c>
      <c r="G246" s="83">
        <f>354</f>
        <v>354</v>
      </c>
      <c r="K246" s="133"/>
      <c r="L246" s="63"/>
      <c r="M246" s="63"/>
      <c r="N246" s="63"/>
      <c r="O246" s="63"/>
      <c r="P246" s="63"/>
      <c r="Q246" s="63">
        <f t="shared" si="15"/>
        <v>354</v>
      </c>
      <c r="R246" s="63">
        <f t="shared" si="16"/>
        <v>0</v>
      </c>
      <c r="S246" s="63">
        <f t="shared" si="17"/>
        <v>354</v>
      </c>
    </row>
    <row r="247" spans="1:19" x14ac:dyDescent="0.2">
      <c r="A247" s="68">
        <v>128294</v>
      </c>
      <c r="B247" s="68" t="s">
        <v>6338</v>
      </c>
      <c r="C247" s="76">
        <v>164</v>
      </c>
      <c r="D247" s="72" t="s">
        <v>6385</v>
      </c>
      <c r="E247" s="68" t="s">
        <v>19</v>
      </c>
      <c r="F247" s="74">
        <v>42498</v>
      </c>
      <c r="G247" s="83"/>
      <c r="K247" s="133"/>
      <c r="L247" s="63"/>
      <c r="M247" s="63"/>
      <c r="N247" s="63"/>
      <c r="O247" s="63"/>
      <c r="P247" s="63"/>
      <c r="Q247" s="63">
        <f t="shared" si="15"/>
        <v>0</v>
      </c>
      <c r="R247" s="63">
        <f t="shared" si="16"/>
        <v>0</v>
      </c>
      <c r="S247" s="63">
        <f t="shared" si="17"/>
        <v>0</v>
      </c>
    </row>
    <row r="248" spans="1:19" x14ac:dyDescent="0.2">
      <c r="A248" s="68">
        <v>128294</v>
      </c>
      <c r="B248" s="68" t="s">
        <v>6338</v>
      </c>
      <c r="C248" s="76">
        <v>164</v>
      </c>
      <c r="D248" s="72" t="s">
        <v>6386</v>
      </c>
      <c r="E248" s="68" t="s">
        <v>19</v>
      </c>
      <c r="F248" s="74">
        <v>42498</v>
      </c>
      <c r="G248" s="83">
        <f>138.72+102.34+41.3</f>
        <v>282.36</v>
      </c>
      <c r="K248" s="133"/>
      <c r="L248" s="63"/>
      <c r="M248" s="63"/>
      <c r="N248" s="63"/>
      <c r="O248" s="63"/>
      <c r="P248" s="63"/>
      <c r="Q248" s="63">
        <f t="shared" si="15"/>
        <v>282.36</v>
      </c>
      <c r="R248" s="63">
        <f t="shared" si="16"/>
        <v>0</v>
      </c>
      <c r="S248" s="63">
        <f t="shared" si="17"/>
        <v>282.36</v>
      </c>
    </row>
    <row r="249" spans="1:19" x14ac:dyDescent="0.2">
      <c r="A249" s="68">
        <v>129988</v>
      </c>
      <c r="B249" s="68" t="s">
        <v>6339</v>
      </c>
      <c r="C249" s="76">
        <v>165</v>
      </c>
      <c r="D249" s="72" t="s">
        <v>6387</v>
      </c>
      <c r="E249" s="68" t="s">
        <v>19</v>
      </c>
      <c r="F249" s="74">
        <v>42499</v>
      </c>
      <c r="G249" s="83">
        <f>263.97+150+300+82.6</f>
        <v>796.57</v>
      </c>
      <c r="I249" s="63">
        <v>1275</v>
      </c>
      <c r="K249" s="133"/>
      <c r="L249" s="63"/>
      <c r="M249" s="63"/>
      <c r="N249" s="63"/>
      <c r="O249" s="63"/>
      <c r="P249" s="63"/>
      <c r="Q249" s="63">
        <f t="shared" si="15"/>
        <v>2071.5700000000002</v>
      </c>
      <c r="R249" s="63">
        <f t="shared" si="16"/>
        <v>0</v>
      </c>
      <c r="S249" s="63">
        <f t="shared" si="17"/>
        <v>2071.5700000000002</v>
      </c>
    </row>
    <row r="250" spans="1:19" x14ac:dyDescent="0.2">
      <c r="A250" s="68">
        <v>129988</v>
      </c>
      <c r="B250" s="68" t="s">
        <v>6339</v>
      </c>
      <c r="C250" s="76">
        <v>165</v>
      </c>
      <c r="D250" s="72" t="s">
        <v>6388</v>
      </c>
      <c r="E250" s="68" t="s">
        <v>19</v>
      </c>
      <c r="F250" s="74">
        <v>42499</v>
      </c>
      <c r="G250" s="83">
        <f>47.2</f>
        <v>47.2</v>
      </c>
      <c r="K250" s="133"/>
      <c r="L250" s="63"/>
      <c r="M250" s="63"/>
      <c r="N250" s="63"/>
      <c r="O250" s="63"/>
      <c r="P250" s="63"/>
      <c r="Q250" s="63">
        <f t="shared" si="15"/>
        <v>47.2</v>
      </c>
      <c r="R250" s="63">
        <f t="shared" si="16"/>
        <v>0</v>
      </c>
      <c r="S250" s="63">
        <f t="shared" si="17"/>
        <v>47.2</v>
      </c>
    </row>
    <row r="251" spans="1:19" x14ac:dyDescent="0.2">
      <c r="A251" s="68">
        <v>118846</v>
      </c>
      <c r="B251" s="68" t="s">
        <v>6340</v>
      </c>
      <c r="C251" s="76">
        <v>166</v>
      </c>
      <c r="D251" s="72" t="s">
        <v>6389</v>
      </c>
      <c r="E251" s="68" t="s">
        <v>19</v>
      </c>
      <c r="F251" s="74">
        <v>42499</v>
      </c>
      <c r="G251" s="83">
        <f>312.7+373.56+240</f>
        <v>926.26</v>
      </c>
      <c r="I251" s="63">
        <f>226.67</f>
        <v>226.67</v>
      </c>
      <c r="K251" s="133"/>
      <c r="L251" s="63"/>
      <c r="M251" s="63"/>
      <c r="N251" s="63"/>
      <c r="O251" s="63"/>
      <c r="P251" s="63"/>
      <c r="Q251" s="63">
        <f t="shared" si="15"/>
        <v>1152.93</v>
      </c>
      <c r="R251" s="63">
        <f t="shared" si="16"/>
        <v>0</v>
      </c>
      <c r="S251" s="63">
        <f t="shared" si="17"/>
        <v>1152.93</v>
      </c>
    </row>
    <row r="252" spans="1:19" x14ac:dyDescent="0.2">
      <c r="A252" s="68">
        <v>127389</v>
      </c>
      <c r="B252" s="68" t="s">
        <v>6341</v>
      </c>
      <c r="C252" s="76">
        <v>167</v>
      </c>
      <c r="D252" s="72" t="s">
        <v>6390</v>
      </c>
      <c r="E252" s="68" t="s">
        <v>4064</v>
      </c>
      <c r="F252" s="74">
        <v>42499</v>
      </c>
      <c r="G252" s="83">
        <f>87+32</f>
        <v>119</v>
      </c>
      <c r="K252" s="133"/>
      <c r="L252" s="63"/>
      <c r="M252" s="63"/>
      <c r="N252" s="63"/>
      <c r="O252" s="63"/>
      <c r="P252" s="63"/>
      <c r="Q252" s="63">
        <f t="shared" si="15"/>
        <v>119</v>
      </c>
      <c r="R252" s="63">
        <f t="shared" si="16"/>
        <v>0</v>
      </c>
      <c r="S252" s="63">
        <f t="shared" si="17"/>
        <v>119</v>
      </c>
    </row>
    <row r="253" spans="1:19" x14ac:dyDescent="0.2">
      <c r="A253" s="68">
        <v>131873</v>
      </c>
      <c r="B253" s="68" t="s">
        <v>5349</v>
      </c>
      <c r="C253" s="76">
        <v>168</v>
      </c>
      <c r="D253" s="72" t="s">
        <v>6391</v>
      </c>
      <c r="E253" s="68" t="s">
        <v>19</v>
      </c>
      <c r="F253" s="74">
        <v>42500</v>
      </c>
      <c r="G253" s="83">
        <f>48</f>
        <v>48</v>
      </c>
      <c r="K253" s="133"/>
      <c r="L253" s="63"/>
      <c r="M253" s="63"/>
      <c r="N253" s="63"/>
      <c r="O253" s="63"/>
      <c r="P253" s="63"/>
      <c r="Q253" s="63">
        <f t="shared" si="15"/>
        <v>48</v>
      </c>
      <c r="R253" s="63">
        <f t="shared" si="16"/>
        <v>0</v>
      </c>
      <c r="S253" s="63">
        <f t="shared" si="17"/>
        <v>48</v>
      </c>
    </row>
    <row r="254" spans="1:19" x14ac:dyDescent="0.2">
      <c r="A254" s="68">
        <v>130830</v>
      </c>
      <c r="B254" s="68" t="s">
        <v>6342</v>
      </c>
      <c r="C254" s="76">
        <v>169</v>
      </c>
      <c r="D254" s="72" t="s">
        <v>6392</v>
      </c>
      <c r="E254" s="68" t="s">
        <v>19</v>
      </c>
      <c r="F254" s="74">
        <v>42503</v>
      </c>
      <c r="G254" s="83">
        <f>108.7</f>
        <v>108.7</v>
      </c>
      <c r="K254" s="133"/>
      <c r="L254" s="63"/>
      <c r="M254" s="63"/>
      <c r="N254" s="63"/>
      <c r="O254" s="63"/>
      <c r="P254" s="63"/>
      <c r="Q254" s="63">
        <f t="shared" si="15"/>
        <v>108.7</v>
      </c>
      <c r="R254" s="63">
        <f t="shared" si="16"/>
        <v>0</v>
      </c>
      <c r="S254" s="63">
        <f t="shared" si="17"/>
        <v>108.7</v>
      </c>
    </row>
    <row r="255" spans="1:19" x14ac:dyDescent="0.2">
      <c r="A255" s="71">
        <v>136779</v>
      </c>
      <c r="B255" s="71" t="s">
        <v>6343</v>
      </c>
      <c r="C255" s="76">
        <v>170</v>
      </c>
      <c r="D255" s="73" t="s">
        <v>6393</v>
      </c>
      <c r="E255" s="71" t="s">
        <v>19</v>
      </c>
      <c r="F255" s="75">
        <v>42503</v>
      </c>
      <c r="G255" s="83">
        <f>40</f>
        <v>40</v>
      </c>
      <c r="K255" s="133"/>
      <c r="L255" s="63"/>
      <c r="M255" s="63"/>
      <c r="N255" s="63"/>
      <c r="O255" s="63"/>
      <c r="P255" s="63"/>
      <c r="Q255" s="63">
        <f t="shared" si="15"/>
        <v>40</v>
      </c>
      <c r="R255" s="63">
        <f t="shared" si="16"/>
        <v>0</v>
      </c>
      <c r="S255" s="63">
        <f t="shared" si="17"/>
        <v>40</v>
      </c>
    </row>
    <row r="256" spans="1:19" x14ac:dyDescent="0.2">
      <c r="A256" s="71">
        <v>136779</v>
      </c>
      <c r="B256" s="71" t="s">
        <v>6343</v>
      </c>
      <c r="C256" s="76">
        <v>170</v>
      </c>
      <c r="D256" s="73" t="s">
        <v>6394</v>
      </c>
      <c r="E256" s="71" t="s">
        <v>19</v>
      </c>
      <c r="F256" s="75">
        <v>42503</v>
      </c>
      <c r="G256" s="83">
        <f>75.9</f>
        <v>75.900000000000006</v>
      </c>
      <c r="K256" s="133"/>
      <c r="L256" s="63"/>
      <c r="M256" s="63"/>
      <c r="N256" s="63"/>
      <c r="O256" s="63"/>
      <c r="P256" s="63"/>
      <c r="Q256" s="63">
        <f t="shared" si="15"/>
        <v>75.900000000000006</v>
      </c>
      <c r="R256" s="63">
        <f t="shared" si="16"/>
        <v>0</v>
      </c>
      <c r="S256" s="63">
        <f t="shared" si="17"/>
        <v>75.900000000000006</v>
      </c>
    </row>
    <row r="257" spans="1:19" x14ac:dyDescent="0.2">
      <c r="A257" s="71">
        <v>136779</v>
      </c>
      <c r="B257" s="71" t="s">
        <v>6343</v>
      </c>
      <c r="C257" s="76">
        <v>170</v>
      </c>
      <c r="D257" s="73" t="s">
        <v>6395</v>
      </c>
      <c r="E257" s="71" t="s">
        <v>19</v>
      </c>
      <c r="F257" s="75">
        <v>42503</v>
      </c>
      <c r="G257" s="83">
        <f>40</f>
        <v>40</v>
      </c>
      <c r="K257" s="133"/>
      <c r="L257" s="63"/>
      <c r="M257" s="63"/>
      <c r="N257" s="63"/>
      <c r="O257" s="63"/>
      <c r="P257" s="63"/>
      <c r="Q257" s="63">
        <f t="shared" si="15"/>
        <v>40</v>
      </c>
      <c r="R257" s="63">
        <f t="shared" si="16"/>
        <v>0</v>
      </c>
      <c r="S257" s="63">
        <f t="shared" si="17"/>
        <v>40</v>
      </c>
    </row>
    <row r="258" spans="1:19" x14ac:dyDescent="0.2">
      <c r="A258" s="68">
        <v>130945</v>
      </c>
      <c r="B258" s="68" t="s">
        <v>6344</v>
      </c>
      <c r="C258" s="76">
        <v>171</v>
      </c>
      <c r="D258" s="72" t="s">
        <v>6396</v>
      </c>
      <c r="E258" s="68" t="s">
        <v>19</v>
      </c>
      <c r="F258" s="74">
        <v>42504</v>
      </c>
      <c r="G258" s="83">
        <f>216.7</f>
        <v>216.7</v>
      </c>
      <c r="K258" s="133"/>
      <c r="L258" s="63"/>
      <c r="M258" s="63"/>
      <c r="N258" s="63"/>
      <c r="O258" s="63"/>
      <c r="P258" s="63"/>
      <c r="Q258" s="63">
        <f t="shared" si="15"/>
        <v>216.7</v>
      </c>
      <c r="R258" s="63">
        <f t="shared" si="16"/>
        <v>0</v>
      </c>
      <c r="S258" s="63">
        <f t="shared" si="17"/>
        <v>216.7</v>
      </c>
    </row>
    <row r="259" spans="1:19" x14ac:dyDescent="0.2">
      <c r="A259" s="68">
        <v>130945</v>
      </c>
      <c r="B259" s="68" t="s">
        <v>6344</v>
      </c>
      <c r="C259" s="76">
        <v>171</v>
      </c>
      <c r="D259" s="72" t="s">
        <v>6397</v>
      </c>
      <c r="E259" s="68" t="s">
        <v>19</v>
      </c>
      <c r="F259" s="74">
        <v>42504</v>
      </c>
      <c r="G259" s="83">
        <f>216.7</f>
        <v>216.7</v>
      </c>
      <c r="K259" s="133"/>
      <c r="L259" s="63"/>
      <c r="M259" s="63"/>
      <c r="N259" s="63"/>
      <c r="O259" s="63"/>
      <c r="P259" s="63"/>
      <c r="Q259" s="63">
        <f t="shared" si="15"/>
        <v>216.7</v>
      </c>
      <c r="R259" s="63">
        <f t="shared" si="16"/>
        <v>0</v>
      </c>
      <c r="S259" s="63">
        <f t="shared" si="17"/>
        <v>216.7</v>
      </c>
    </row>
    <row r="260" spans="1:19" x14ac:dyDescent="0.2">
      <c r="A260" s="71">
        <v>121679</v>
      </c>
      <c r="B260" s="71" t="s">
        <v>6345</v>
      </c>
      <c r="C260" s="76">
        <v>172</v>
      </c>
      <c r="D260" s="73" t="s">
        <v>6398</v>
      </c>
      <c r="E260" s="71" t="s">
        <v>19</v>
      </c>
      <c r="F260" s="75">
        <v>42504</v>
      </c>
      <c r="G260" s="83">
        <f>102.5</f>
        <v>102.5</v>
      </c>
      <c r="K260" s="133"/>
      <c r="L260" s="63"/>
      <c r="M260" s="63"/>
      <c r="N260" s="63"/>
      <c r="O260" s="63"/>
      <c r="P260" s="63"/>
      <c r="Q260" s="63">
        <f t="shared" si="15"/>
        <v>102.5</v>
      </c>
      <c r="R260" s="63">
        <f t="shared" si="16"/>
        <v>0</v>
      </c>
      <c r="S260" s="63">
        <f t="shared" si="17"/>
        <v>102.5</v>
      </c>
    </row>
    <row r="261" spans="1:19" x14ac:dyDescent="0.2">
      <c r="A261" s="71">
        <v>121679</v>
      </c>
      <c r="B261" s="71" t="s">
        <v>6345</v>
      </c>
      <c r="C261" s="76">
        <v>172</v>
      </c>
      <c r="D261" s="73" t="s">
        <v>6399</v>
      </c>
      <c r="E261" s="71" t="s">
        <v>19</v>
      </c>
      <c r="F261" s="75">
        <v>42504</v>
      </c>
      <c r="G261" s="83">
        <f>50.2</f>
        <v>50.2</v>
      </c>
      <c r="K261" s="133"/>
      <c r="L261" s="63"/>
      <c r="M261" s="63"/>
      <c r="N261" s="63"/>
      <c r="O261" s="63"/>
      <c r="P261" s="63"/>
      <c r="Q261" s="63">
        <f t="shared" si="15"/>
        <v>50.2</v>
      </c>
      <c r="R261" s="63">
        <f t="shared" si="16"/>
        <v>0</v>
      </c>
      <c r="S261" s="63">
        <f t="shared" si="17"/>
        <v>50.2</v>
      </c>
    </row>
    <row r="262" spans="1:19" x14ac:dyDescent="0.2">
      <c r="A262" s="71">
        <v>121679</v>
      </c>
      <c r="B262" s="71" t="s">
        <v>6345</v>
      </c>
      <c r="C262" s="76">
        <v>172</v>
      </c>
      <c r="D262" s="73" t="s">
        <v>6400</v>
      </c>
      <c r="E262" s="71" t="s">
        <v>19</v>
      </c>
      <c r="F262" s="75">
        <v>42504</v>
      </c>
      <c r="G262" s="83">
        <f>48.6</f>
        <v>48.6</v>
      </c>
      <c r="K262" s="133"/>
      <c r="L262" s="63"/>
      <c r="M262" s="63"/>
      <c r="N262" s="63"/>
      <c r="O262" s="63"/>
      <c r="P262" s="63"/>
      <c r="Q262" s="63">
        <f t="shared" si="15"/>
        <v>48.6</v>
      </c>
      <c r="R262" s="63">
        <f t="shared" si="16"/>
        <v>0</v>
      </c>
      <c r="S262" s="63">
        <f t="shared" si="17"/>
        <v>48.6</v>
      </c>
    </row>
    <row r="263" spans="1:19" x14ac:dyDescent="0.2">
      <c r="A263" s="68">
        <v>119556</v>
      </c>
      <c r="B263" s="68" t="s">
        <v>6346</v>
      </c>
      <c r="C263" s="76">
        <v>173</v>
      </c>
      <c r="D263" s="72" t="s">
        <v>6401</v>
      </c>
      <c r="E263" s="68" t="s">
        <v>19</v>
      </c>
      <c r="F263" s="74">
        <v>42506</v>
      </c>
      <c r="G263" s="83">
        <f>147</f>
        <v>147</v>
      </c>
      <c r="K263" s="133"/>
      <c r="L263" s="63"/>
      <c r="M263" s="63"/>
      <c r="N263" s="63"/>
      <c r="O263" s="63"/>
      <c r="P263" s="63"/>
      <c r="Q263" s="63">
        <f t="shared" si="15"/>
        <v>147</v>
      </c>
      <c r="R263" s="63">
        <f t="shared" si="16"/>
        <v>0</v>
      </c>
      <c r="S263" s="63">
        <f t="shared" si="17"/>
        <v>147</v>
      </c>
    </row>
    <row r="264" spans="1:19" x14ac:dyDescent="0.2">
      <c r="A264" s="68">
        <v>131791</v>
      </c>
      <c r="B264" s="68" t="s">
        <v>238</v>
      </c>
      <c r="C264" s="76">
        <v>174</v>
      </c>
      <c r="D264" s="72" t="s">
        <v>6402</v>
      </c>
      <c r="E264" s="68" t="s">
        <v>19</v>
      </c>
      <c r="F264" s="74">
        <v>42506</v>
      </c>
      <c r="G264" s="83">
        <f>238+153.7+83+368.36</f>
        <v>843.06</v>
      </c>
      <c r="I264" s="63">
        <f>226.67</f>
        <v>226.67</v>
      </c>
      <c r="K264" s="133"/>
      <c r="L264" s="63"/>
      <c r="M264" s="63"/>
      <c r="N264" s="63"/>
      <c r="O264" s="63"/>
      <c r="P264" s="63"/>
      <c r="Q264" s="63">
        <f t="shared" si="15"/>
        <v>1069.73</v>
      </c>
      <c r="R264" s="63">
        <f t="shared" si="16"/>
        <v>0</v>
      </c>
      <c r="S264" s="63">
        <f t="shared" si="17"/>
        <v>1069.73</v>
      </c>
    </row>
    <row r="265" spans="1:19" x14ac:dyDescent="0.2">
      <c r="A265" s="68">
        <v>123937</v>
      </c>
      <c r="B265" s="68" t="s">
        <v>6347</v>
      </c>
      <c r="C265" s="76">
        <v>175</v>
      </c>
      <c r="D265" s="72" t="s">
        <v>6403</v>
      </c>
      <c r="E265" s="68" t="s">
        <v>19</v>
      </c>
      <c r="F265" s="74">
        <v>42506</v>
      </c>
      <c r="G265" s="83">
        <f>400.9</f>
        <v>400.9</v>
      </c>
      <c r="K265" s="133"/>
      <c r="L265" s="63"/>
      <c r="M265" s="63"/>
      <c r="N265" s="63"/>
      <c r="O265" s="63"/>
      <c r="P265" s="63"/>
      <c r="Q265" s="63">
        <f t="shared" si="15"/>
        <v>400.9</v>
      </c>
      <c r="R265" s="63">
        <f t="shared" si="16"/>
        <v>0</v>
      </c>
      <c r="S265" s="63">
        <f t="shared" si="17"/>
        <v>400.9</v>
      </c>
    </row>
    <row r="266" spans="1:19" x14ac:dyDescent="0.2">
      <c r="A266" s="68">
        <v>123937</v>
      </c>
      <c r="B266" s="68" t="s">
        <v>6347</v>
      </c>
      <c r="C266" s="76">
        <v>175</v>
      </c>
      <c r="D266" s="72" t="s">
        <v>6404</v>
      </c>
      <c r="E266" s="68" t="s">
        <v>19</v>
      </c>
      <c r="F266" s="74">
        <v>42506</v>
      </c>
      <c r="G266" s="83">
        <f>42.1</f>
        <v>42.1</v>
      </c>
      <c r="K266" s="133"/>
      <c r="L266" s="63"/>
      <c r="M266" s="63"/>
      <c r="N266" s="63"/>
      <c r="O266" s="63"/>
      <c r="P266" s="63"/>
      <c r="Q266" s="63">
        <f t="shared" si="15"/>
        <v>42.1</v>
      </c>
      <c r="R266" s="63">
        <f t="shared" si="16"/>
        <v>0</v>
      </c>
      <c r="S266" s="63">
        <f t="shared" si="17"/>
        <v>42.1</v>
      </c>
    </row>
    <row r="267" spans="1:19" x14ac:dyDescent="0.2">
      <c r="A267" s="68">
        <v>133500</v>
      </c>
      <c r="B267" s="68" t="s">
        <v>6348</v>
      </c>
      <c r="C267" s="76">
        <v>176</v>
      </c>
      <c r="D267" s="72" t="s">
        <v>6405</v>
      </c>
      <c r="E267" s="68" t="s">
        <v>19</v>
      </c>
      <c r="F267" s="74">
        <v>42509</v>
      </c>
      <c r="G267" s="83">
        <f>110.75</f>
        <v>110.75</v>
      </c>
      <c r="K267" s="133"/>
      <c r="L267" s="63"/>
      <c r="M267" s="63"/>
      <c r="N267" s="63"/>
      <c r="O267" s="63"/>
      <c r="P267" s="63"/>
      <c r="Q267" s="63">
        <f t="shared" si="15"/>
        <v>110.75</v>
      </c>
      <c r="R267" s="63">
        <f t="shared" si="16"/>
        <v>0</v>
      </c>
      <c r="S267" s="63">
        <f t="shared" si="17"/>
        <v>110.75</v>
      </c>
    </row>
    <row r="268" spans="1:19" x14ac:dyDescent="0.2">
      <c r="A268" s="68">
        <v>133500</v>
      </c>
      <c r="B268" s="68" t="s">
        <v>6348</v>
      </c>
      <c r="C268" s="76">
        <v>176</v>
      </c>
      <c r="D268" s="72" t="s">
        <v>6406</v>
      </c>
      <c r="E268" s="68" t="s">
        <v>19</v>
      </c>
      <c r="F268" s="74">
        <v>42509</v>
      </c>
      <c r="G268" s="83">
        <f>130.34+105.02+104.31+240+59</f>
        <v>638.67000000000007</v>
      </c>
      <c r="I268" s="63">
        <v>1841.67</v>
      </c>
      <c r="K268" s="133"/>
      <c r="L268" s="63"/>
      <c r="M268" s="63"/>
      <c r="N268" s="63"/>
      <c r="O268" s="63"/>
      <c r="P268" s="63"/>
      <c r="Q268" s="63">
        <f t="shared" si="15"/>
        <v>2480.34</v>
      </c>
      <c r="R268" s="63">
        <f t="shared" si="16"/>
        <v>0</v>
      </c>
      <c r="S268" s="63">
        <f t="shared" si="17"/>
        <v>2480.34</v>
      </c>
    </row>
    <row r="269" spans="1:19" x14ac:dyDescent="0.2">
      <c r="A269" s="68">
        <v>123251</v>
      </c>
      <c r="B269" s="68" t="s">
        <v>6349</v>
      </c>
      <c r="C269" s="76">
        <v>177</v>
      </c>
      <c r="D269" s="72" t="s">
        <v>6407</v>
      </c>
      <c r="E269" s="68" t="s">
        <v>19</v>
      </c>
      <c r="F269" s="74">
        <v>42510</v>
      </c>
      <c r="G269" s="83">
        <f>174+336.72+201.39+86.86+86.86+103.03+103.03</f>
        <v>1091.8900000000001</v>
      </c>
      <c r="K269" s="133"/>
      <c r="L269" s="63"/>
      <c r="M269" s="63"/>
      <c r="N269" s="63"/>
      <c r="O269" s="63"/>
      <c r="P269" s="63"/>
      <c r="Q269" s="63">
        <f t="shared" si="15"/>
        <v>1091.8900000000001</v>
      </c>
      <c r="R269" s="63">
        <f t="shared" si="16"/>
        <v>0</v>
      </c>
      <c r="S269" s="63">
        <f t="shared" si="17"/>
        <v>1091.8900000000001</v>
      </c>
    </row>
    <row r="270" spans="1:19" x14ac:dyDescent="0.2">
      <c r="A270" s="68">
        <v>123251</v>
      </c>
      <c r="B270" s="68" t="s">
        <v>6349</v>
      </c>
      <c r="C270" s="76">
        <v>177</v>
      </c>
      <c r="D270" s="72" t="s">
        <v>6408</v>
      </c>
      <c r="E270" s="68" t="s">
        <v>19</v>
      </c>
      <c r="F270" s="74">
        <v>42510</v>
      </c>
      <c r="G270" s="83">
        <f>388+41.3+331.3+277.44+104.86+105.33+228+49.6+64.31+41.3</f>
        <v>1631.4399999999996</v>
      </c>
      <c r="I270" s="63">
        <v>3938.33</v>
      </c>
      <c r="K270" s="133"/>
      <c r="L270" s="63"/>
      <c r="M270" s="63"/>
      <c r="N270" s="63"/>
      <c r="O270" s="63"/>
      <c r="P270" s="63"/>
      <c r="Q270" s="63">
        <f t="shared" si="15"/>
        <v>5569.7699999999995</v>
      </c>
      <c r="R270" s="63">
        <f t="shared" si="16"/>
        <v>0</v>
      </c>
      <c r="S270" s="63">
        <f t="shared" si="17"/>
        <v>5569.7699999999995</v>
      </c>
    </row>
    <row r="271" spans="1:19" x14ac:dyDescent="0.2">
      <c r="A271" s="68">
        <v>127882</v>
      </c>
      <c r="B271" s="68" t="s">
        <v>6350</v>
      </c>
      <c r="C271" s="76">
        <v>178</v>
      </c>
      <c r="D271" s="72" t="s">
        <v>6409</v>
      </c>
      <c r="E271" s="68" t="s">
        <v>19</v>
      </c>
      <c r="F271" s="74">
        <v>42510</v>
      </c>
      <c r="G271" s="83">
        <f>586.32+121.3+240</f>
        <v>947.62</v>
      </c>
      <c r="K271" s="133"/>
      <c r="L271" s="63"/>
      <c r="M271" s="63"/>
      <c r="N271" s="63"/>
      <c r="O271" s="63"/>
      <c r="P271" s="63"/>
      <c r="Q271" s="63">
        <f t="shared" si="15"/>
        <v>947.62</v>
      </c>
      <c r="R271" s="63">
        <f t="shared" si="16"/>
        <v>0</v>
      </c>
      <c r="S271" s="63">
        <f t="shared" si="17"/>
        <v>947.62</v>
      </c>
    </row>
    <row r="272" spans="1:19" x14ac:dyDescent="0.2">
      <c r="A272" s="68">
        <v>122099</v>
      </c>
      <c r="B272" s="68" t="s">
        <v>6351</v>
      </c>
      <c r="C272" s="76">
        <v>179</v>
      </c>
      <c r="D272" s="72" t="s">
        <v>6410</v>
      </c>
      <c r="E272" s="68" t="s">
        <v>19</v>
      </c>
      <c r="F272" s="74">
        <v>42512</v>
      </c>
      <c r="G272" s="83">
        <f>4780.7+320+630.9</f>
        <v>5731.5999999999995</v>
      </c>
      <c r="K272" s="133"/>
      <c r="L272" s="63"/>
      <c r="M272" s="63"/>
      <c r="N272" s="63"/>
      <c r="O272" s="63"/>
      <c r="P272" s="63"/>
      <c r="Q272" s="63">
        <f t="shared" si="15"/>
        <v>5731.5999999999995</v>
      </c>
      <c r="R272" s="63">
        <f t="shared" si="16"/>
        <v>0</v>
      </c>
      <c r="S272" s="63">
        <f t="shared" si="17"/>
        <v>5731.5999999999995</v>
      </c>
    </row>
    <row r="273" spans="1:19" x14ac:dyDescent="0.2">
      <c r="A273" s="68">
        <v>122099</v>
      </c>
      <c r="B273" s="68" t="s">
        <v>6351</v>
      </c>
      <c r="C273" s="76">
        <v>179</v>
      </c>
      <c r="D273" s="72" t="s">
        <v>6411</v>
      </c>
      <c r="E273" s="68" t="s">
        <v>19</v>
      </c>
      <c r="F273" s="74">
        <v>42512</v>
      </c>
      <c r="G273" s="83">
        <f>262.94+59+17.7+294.9+96.47+76.95+203.05+110+300+430+74.2+345+345+345+98.03+535+76.7+295</f>
        <v>3964.94</v>
      </c>
      <c r="I273" s="63">
        <f>1700+2250</f>
        <v>3950</v>
      </c>
      <c r="K273" s="133"/>
      <c r="L273" s="63"/>
      <c r="M273" s="63"/>
      <c r="N273" s="63"/>
      <c r="O273" s="63"/>
      <c r="P273" s="63"/>
      <c r="Q273" s="63">
        <f t="shared" si="15"/>
        <v>7914.9400000000005</v>
      </c>
      <c r="R273" s="63">
        <f t="shared" si="16"/>
        <v>0</v>
      </c>
      <c r="S273" s="63">
        <f t="shared" si="17"/>
        <v>7914.9400000000005</v>
      </c>
    </row>
    <row r="274" spans="1:19" x14ac:dyDescent="0.2">
      <c r="A274" s="68">
        <v>122099</v>
      </c>
      <c r="B274" s="68" t="s">
        <v>6351</v>
      </c>
      <c r="C274" s="76">
        <v>179</v>
      </c>
      <c r="D274" s="72" t="s">
        <v>6412</v>
      </c>
      <c r="E274" s="68" t="s">
        <v>19</v>
      </c>
      <c r="F274" s="74">
        <v>42512</v>
      </c>
      <c r="G274" s="83">
        <f>137.5</f>
        <v>137.5</v>
      </c>
      <c r="K274" s="133"/>
      <c r="L274" s="63"/>
      <c r="M274" s="63"/>
      <c r="N274" s="63"/>
      <c r="O274" s="63"/>
      <c r="P274" s="63"/>
      <c r="Q274" s="63">
        <f t="shared" si="15"/>
        <v>137.5</v>
      </c>
      <c r="R274" s="63">
        <f t="shared" si="16"/>
        <v>0</v>
      </c>
      <c r="S274" s="63">
        <f t="shared" si="17"/>
        <v>137.5</v>
      </c>
    </row>
    <row r="275" spans="1:19" x14ac:dyDescent="0.2">
      <c r="A275" s="68">
        <v>132032</v>
      </c>
      <c r="B275" s="68" t="s">
        <v>6352</v>
      </c>
      <c r="C275" s="76">
        <v>180</v>
      </c>
      <c r="D275" s="72" t="s">
        <v>6413</v>
      </c>
      <c r="E275" s="68" t="s">
        <v>19</v>
      </c>
      <c r="F275" s="74">
        <v>42512</v>
      </c>
      <c r="G275" s="83">
        <f>108.6</f>
        <v>108.6</v>
      </c>
      <c r="K275" s="133"/>
      <c r="L275" s="63"/>
      <c r="M275" s="63"/>
      <c r="N275" s="63"/>
      <c r="O275" s="63"/>
      <c r="P275" s="63"/>
      <c r="Q275" s="63">
        <f t="shared" si="15"/>
        <v>108.6</v>
      </c>
      <c r="R275" s="63">
        <f t="shared" si="16"/>
        <v>0</v>
      </c>
      <c r="S275" s="63">
        <f t="shared" si="17"/>
        <v>108.6</v>
      </c>
    </row>
    <row r="276" spans="1:19" x14ac:dyDescent="0.2">
      <c r="A276" s="68">
        <v>132032</v>
      </c>
      <c r="B276" s="68" t="s">
        <v>6352</v>
      </c>
      <c r="C276" s="76">
        <v>180</v>
      </c>
      <c r="D276" s="72" t="s">
        <v>6414</v>
      </c>
      <c r="E276" s="68" t="s">
        <v>19</v>
      </c>
      <c r="F276" s="74">
        <v>42512</v>
      </c>
      <c r="G276" s="83">
        <f>319+70</f>
        <v>389</v>
      </c>
      <c r="K276" s="133"/>
      <c r="L276" s="63"/>
      <c r="M276" s="63"/>
      <c r="N276" s="63"/>
      <c r="O276" s="63"/>
      <c r="P276" s="63"/>
      <c r="Q276" s="63">
        <f t="shared" si="15"/>
        <v>389</v>
      </c>
      <c r="R276" s="63">
        <f t="shared" si="16"/>
        <v>0</v>
      </c>
      <c r="S276" s="63">
        <f t="shared" si="17"/>
        <v>389</v>
      </c>
    </row>
    <row r="277" spans="1:19" x14ac:dyDescent="0.2">
      <c r="A277" s="68">
        <v>126042</v>
      </c>
      <c r="B277" s="68" t="s">
        <v>3230</v>
      </c>
      <c r="C277" s="76">
        <v>181</v>
      </c>
      <c r="D277" s="72" t="s">
        <v>6415</v>
      </c>
      <c r="E277" s="68" t="s">
        <v>19</v>
      </c>
      <c r="F277" s="74">
        <v>42513</v>
      </c>
      <c r="G277" s="83">
        <f>40</f>
        <v>40</v>
      </c>
      <c r="K277" s="133"/>
      <c r="L277" s="63"/>
      <c r="M277" s="63"/>
      <c r="N277" s="63"/>
      <c r="O277" s="63"/>
      <c r="P277" s="63"/>
      <c r="Q277" s="63">
        <f t="shared" si="15"/>
        <v>40</v>
      </c>
      <c r="R277" s="63">
        <f t="shared" si="16"/>
        <v>0</v>
      </c>
      <c r="S277" s="63">
        <f t="shared" si="17"/>
        <v>40</v>
      </c>
    </row>
    <row r="278" spans="1:19" x14ac:dyDescent="0.2">
      <c r="A278" s="68">
        <v>126042</v>
      </c>
      <c r="B278" s="68" t="s">
        <v>3230</v>
      </c>
      <c r="C278" s="76">
        <v>181</v>
      </c>
      <c r="D278" s="72" t="s">
        <v>6416</v>
      </c>
      <c r="E278" s="68" t="s">
        <v>19</v>
      </c>
      <c r="F278" s="74">
        <v>42513</v>
      </c>
      <c r="G278" s="83">
        <f>40</f>
        <v>40</v>
      </c>
      <c r="K278" s="133"/>
      <c r="L278" s="63"/>
      <c r="M278" s="63"/>
      <c r="N278" s="63"/>
      <c r="O278" s="63"/>
      <c r="P278" s="63"/>
      <c r="Q278" s="63">
        <f t="shared" si="15"/>
        <v>40</v>
      </c>
      <c r="R278" s="63">
        <f t="shared" si="16"/>
        <v>0</v>
      </c>
      <c r="S278" s="63">
        <f t="shared" si="17"/>
        <v>40</v>
      </c>
    </row>
    <row r="279" spans="1:19" x14ac:dyDescent="0.2">
      <c r="A279" s="68">
        <v>134437</v>
      </c>
      <c r="B279" s="68" t="s">
        <v>6353</v>
      </c>
      <c r="C279" s="76">
        <v>182</v>
      </c>
      <c r="D279" s="72" t="s">
        <v>6417</v>
      </c>
      <c r="E279" s="68" t="s">
        <v>19</v>
      </c>
      <c r="F279" s="74">
        <v>42514</v>
      </c>
      <c r="G279" s="83">
        <f>141.7</f>
        <v>141.69999999999999</v>
      </c>
      <c r="K279" s="133"/>
      <c r="L279" s="63"/>
      <c r="M279" s="63"/>
      <c r="N279" s="63"/>
      <c r="O279" s="63"/>
      <c r="P279" s="63"/>
      <c r="Q279" s="63">
        <f t="shared" si="15"/>
        <v>141.69999999999999</v>
      </c>
      <c r="R279" s="63">
        <f t="shared" si="16"/>
        <v>0</v>
      </c>
      <c r="S279" s="63">
        <f t="shared" si="17"/>
        <v>141.69999999999999</v>
      </c>
    </row>
    <row r="280" spans="1:19" x14ac:dyDescent="0.2">
      <c r="A280" s="68">
        <v>130245</v>
      </c>
      <c r="B280" s="68" t="s">
        <v>6354</v>
      </c>
      <c r="C280" s="76">
        <v>183</v>
      </c>
      <c r="D280" s="72" t="s">
        <v>6418</v>
      </c>
      <c r="E280" s="68" t="s">
        <v>19</v>
      </c>
      <c r="F280" s="74">
        <v>42514</v>
      </c>
      <c r="G280" s="83">
        <f>336.14+189.29+286.5+238</f>
        <v>1049.9299999999998</v>
      </c>
      <c r="K280" s="133"/>
      <c r="L280" s="63"/>
      <c r="M280" s="63"/>
      <c r="N280" s="63"/>
      <c r="O280" s="63"/>
      <c r="P280" s="63"/>
      <c r="Q280" s="63">
        <f t="shared" si="15"/>
        <v>1049.9299999999998</v>
      </c>
      <c r="R280" s="63">
        <f t="shared" si="16"/>
        <v>0</v>
      </c>
      <c r="S280" s="63">
        <f t="shared" si="17"/>
        <v>1049.9299999999998</v>
      </c>
    </row>
    <row r="281" spans="1:19" x14ac:dyDescent="0.2">
      <c r="A281" s="68">
        <v>132752</v>
      </c>
      <c r="B281" s="68" t="s">
        <v>6355</v>
      </c>
      <c r="C281" s="76">
        <v>184</v>
      </c>
      <c r="D281" s="72" t="s">
        <v>6419</v>
      </c>
      <c r="E281" s="68" t="s">
        <v>19</v>
      </c>
      <c r="F281" s="74">
        <v>42516</v>
      </c>
      <c r="G281" s="83">
        <f>609.12+41.3+41.3</f>
        <v>691.71999999999991</v>
      </c>
      <c r="I281" s="63">
        <f>198.33</f>
        <v>198.33</v>
      </c>
      <c r="K281" s="133"/>
      <c r="L281" s="63"/>
      <c r="M281" s="63"/>
      <c r="N281" s="63"/>
      <c r="O281" s="63"/>
      <c r="P281" s="63"/>
      <c r="Q281" s="63">
        <f t="shared" si="15"/>
        <v>890.05</v>
      </c>
      <c r="R281" s="63">
        <f t="shared" si="16"/>
        <v>0</v>
      </c>
      <c r="S281" s="63">
        <f t="shared" si="17"/>
        <v>890.05</v>
      </c>
    </row>
    <row r="282" spans="1:19" x14ac:dyDescent="0.2">
      <c r="A282" s="68">
        <v>126501</v>
      </c>
      <c r="B282" s="68" t="s">
        <v>6356</v>
      </c>
      <c r="C282" s="76">
        <v>185</v>
      </c>
      <c r="D282" s="72" t="s">
        <v>6420</v>
      </c>
      <c r="E282" s="68" t="s">
        <v>19</v>
      </c>
      <c r="F282" s="74">
        <v>42516</v>
      </c>
      <c r="G282" s="83">
        <f>115.5</f>
        <v>115.5</v>
      </c>
      <c r="K282" s="133"/>
      <c r="L282" s="63"/>
      <c r="M282" s="63"/>
      <c r="N282" s="63"/>
      <c r="O282" s="63"/>
      <c r="P282" s="63"/>
      <c r="Q282" s="63">
        <f t="shared" si="15"/>
        <v>115.5</v>
      </c>
      <c r="R282" s="63">
        <f t="shared" si="16"/>
        <v>0</v>
      </c>
      <c r="S282" s="63">
        <f t="shared" si="17"/>
        <v>115.5</v>
      </c>
    </row>
    <row r="283" spans="1:19" x14ac:dyDescent="0.2">
      <c r="A283" s="68">
        <v>126501</v>
      </c>
      <c r="B283" s="68" t="s">
        <v>6356</v>
      </c>
      <c r="C283" s="76">
        <v>185</v>
      </c>
      <c r="D283" s="72" t="s">
        <v>6421</v>
      </c>
      <c r="E283" s="68" t="s">
        <v>19</v>
      </c>
      <c r="F283" s="74">
        <v>42516</v>
      </c>
      <c r="G283" s="83">
        <f>182.5</f>
        <v>182.5</v>
      </c>
      <c r="K283" s="133"/>
      <c r="L283" s="63"/>
      <c r="M283" s="63"/>
      <c r="N283" s="63"/>
      <c r="O283" s="63"/>
      <c r="P283" s="63"/>
      <c r="Q283" s="63">
        <f t="shared" si="15"/>
        <v>182.5</v>
      </c>
      <c r="R283" s="63">
        <f t="shared" si="16"/>
        <v>0</v>
      </c>
      <c r="S283" s="63">
        <f t="shared" si="17"/>
        <v>182.5</v>
      </c>
    </row>
    <row r="284" spans="1:19" x14ac:dyDescent="0.2">
      <c r="A284" s="68">
        <v>132312</v>
      </c>
      <c r="B284" s="68" t="s">
        <v>6357</v>
      </c>
      <c r="C284" s="76">
        <v>186</v>
      </c>
      <c r="D284" s="72" t="s">
        <v>6422</v>
      </c>
      <c r="E284" s="68" t="s">
        <v>6437</v>
      </c>
      <c r="F284" s="74">
        <v>42518</v>
      </c>
      <c r="G284" s="83">
        <f>373+55</f>
        <v>428</v>
      </c>
      <c r="K284" s="133"/>
      <c r="L284" s="63"/>
      <c r="M284" s="63"/>
      <c r="N284" s="63"/>
      <c r="O284" s="63"/>
      <c r="P284" s="63"/>
      <c r="Q284" s="63">
        <f t="shared" si="15"/>
        <v>428</v>
      </c>
      <c r="R284" s="63">
        <f t="shared" si="16"/>
        <v>0</v>
      </c>
      <c r="S284" s="63">
        <f t="shared" si="17"/>
        <v>428</v>
      </c>
    </row>
    <row r="285" spans="1:19" x14ac:dyDescent="0.2">
      <c r="A285" s="68">
        <v>130422</v>
      </c>
      <c r="B285" s="68" t="s">
        <v>6358</v>
      </c>
      <c r="C285" s="76">
        <v>187</v>
      </c>
      <c r="D285" s="72" t="s">
        <v>6423</v>
      </c>
      <c r="E285" s="68" t="s">
        <v>19</v>
      </c>
      <c r="F285" s="74">
        <v>42518</v>
      </c>
      <c r="G285" s="83">
        <f>140+315.12</f>
        <v>455.12</v>
      </c>
      <c r="K285" s="133"/>
      <c r="L285" s="63"/>
      <c r="M285" s="63"/>
      <c r="N285" s="63"/>
      <c r="O285" s="63"/>
      <c r="P285" s="63"/>
      <c r="Q285" s="63">
        <f t="shared" si="15"/>
        <v>455.12</v>
      </c>
      <c r="R285" s="63">
        <f t="shared" si="16"/>
        <v>0</v>
      </c>
      <c r="S285" s="63">
        <f t="shared" si="17"/>
        <v>455.12</v>
      </c>
    </row>
    <row r="286" spans="1:19" x14ac:dyDescent="0.2">
      <c r="A286" s="68">
        <v>130422</v>
      </c>
      <c r="B286" s="68" t="s">
        <v>6358</v>
      </c>
      <c r="C286" s="76">
        <v>187</v>
      </c>
      <c r="D286" s="72" t="s">
        <v>6424</v>
      </c>
      <c r="E286" s="68" t="s">
        <v>19</v>
      </c>
      <c r="F286" s="74">
        <v>42518</v>
      </c>
      <c r="G286" s="83">
        <f>232.47</f>
        <v>232.47</v>
      </c>
      <c r="K286" s="133"/>
      <c r="L286" s="63"/>
      <c r="M286" s="63"/>
      <c r="N286" s="63"/>
      <c r="O286" s="63"/>
      <c r="P286" s="63"/>
      <c r="Q286" s="63">
        <f t="shared" si="15"/>
        <v>232.47</v>
      </c>
      <c r="R286" s="63">
        <f t="shared" si="16"/>
        <v>0</v>
      </c>
      <c r="S286" s="63">
        <f t="shared" si="17"/>
        <v>232.47</v>
      </c>
    </row>
    <row r="287" spans="1:19" x14ac:dyDescent="0.2">
      <c r="A287" s="68">
        <v>130422</v>
      </c>
      <c r="B287" s="68" t="s">
        <v>6358</v>
      </c>
      <c r="C287" s="76">
        <v>187</v>
      </c>
      <c r="D287" s="72" t="s">
        <v>6425</v>
      </c>
      <c r="E287" s="68" t="s">
        <v>19</v>
      </c>
      <c r="F287" s="74">
        <v>42518</v>
      </c>
      <c r="G287" s="83">
        <f>187.18</f>
        <v>187.18</v>
      </c>
      <c r="K287" s="133"/>
      <c r="L287" s="63"/>
      <c r="M287" s="63"/>
      <c r="N287" s="63"/>
      <c r="O287" s="63"/>
      <c r="P287" s="63"/>
      <c r="Q287" s="63">
        <f t="shared" ref="Q287:Q350" si="18">+G287+I287+K287+M287+O287</f>
        <v>187.18</v>
      </c>
      <c r="R287" s="63">
        <f t="shared" ref="R287:R350" si="19">+H287+J287+L287+N287+P287</f>
        <v>0</v>
      </c>
      <c r="S287" s="63">
        <f t="shared" ref="S287:S350" si="20">+Q287+R287</f>
        <v>187.18</v>
      </c>
    </row>
    <row r="288" spans="1:19" x14ac:dyDescent="0.2">
      <c r="A288" s="68">
        <v>130422</v>
      </c>
      <c r="B288" s="68" t="s">
        <v>6358</v>
      </c>
      <c r="C288" s="76">
        <v>187</v>
      </c>
      <c r="D288" s="72" t="s">
        <v>6426</v>
      </c>
      <c r="E288" s="68" t="s">
        <v>19</v>
      </c>
      <c r="F288" s="74">
        <v>42518</v>
      </c>
      <c r="G288" s="83">
        <f>153.69</f>
        <v>153.69</v>
      </c>
      <c r="K288" s="133"/>
      <c r="L288" s="63"/>
      <c r="M288" s="63"/>
      <c r="N288" s="63"/>
      <c r="O288" s="63"/>
      <c r="P288" s="63"/>
      <c r="Q288" s="63">
        <f t="shared" si="18"/>
        <v>153.69</v>
      </c>
      <c r="R288" s="63">
        <f t="shared" si="19"/>
        <v>0</v>
      </c>
      <c r="S288" s="63">
        <f t="shared" si="20"/>
        <v>153.69</v>
      </c>
    </row>
    <row r="289" spans="1:19" x14ac:dyDescent="0.2">
      <c r="A289" s="68">
        <v>120964</v>
      </c>
      <c r="B289" s="68" t="s">
        <v>6359</v>
      </c>
      <c r="C289" s="76">
        <v>188</v>
      </c>
      <c r="D289" s="72" t="s">
        <v>6427</v>
      </c>
      <c r="E289" s="68" t="s">
        <v>19</v>
      </c>
      <c r="F289" s="74">
        <v>42518</v>
      </c>
      <c r="G289" s="83">
        <f>97</f>
        <v>97</v>
      </c>
      <c r="K289" s="133"/>
      <c r="L289" s="63"/>
      <c r="M289" s="63"/>
      <c r="N289" s="63"/>
      <c r="O289" s="63"/>
      <c r="P289" s="63"/>
      <c r="Q289" s="63">
        <f t="shared" si="18"/>
        <v>97</v>
      </c>
      <c r="R289" s="63">
        <f t="shared" si="19"/>
        <v>0</v>
      </c>
      <c r="S289" s="63">
        <f t="shared" si="20"/>
        <v>97</v>
      </c>
    </row>
    <row r="290" spans="1:19" x14ac:dyDescent="0.2">
      <c r="A290" s="68">
        <v>135261</v>
      </c>
      <c r="B290" s="68" t="s">
        <v>6360</v>
      </c>
      <c r="C290" s="76">
        <v>189</v>
      </c>
      <c r="D290" s="72" t="s">
        <v>6428</v>
      </c>
      <c r="E290" s="68" t="s">
        <v>19</v>
      </c>
      <c r="F290" s="74">
        <v>42518</v>
      </c>
      <c r="G290" s="83">
        <f>298.18</f>
        <v>298.18</v>
      </c>
      <c r="K290" s="133"/>
      <c r="L290" s="63"/>
      <c r="M290" s="63"/>
      <c r="N290" s="63"/>
      <c r="O290" s="63"/>
      <c r="P290" s="63"/>
      <c r="Q290" s="63">
        <f t="shared" si="18"/>
        <v>298.18</v>
      </c>
      <c r="R290" s="63">
        <f t="shared" si="19"/>
        <v>0</v>
      </c>
      <c r="S290" s="63">
        <f t="shared" si="20"/>
        <v>298.18</v>
      </c>
    </row>
    <row r="291" spans="1:19" x14ac:dyDescent="0.2">
      <c r="A291" s="68">
        <v>135261</v>
      </c>
      <c r="B291" s="68" t="s">
        <v>6360</v>
      </c>
      <c r="C291" s="76">
        <v>189</v>
      </c>
      <c r="D291" s="72" t="s">
        <v>6429</v>
      </c>
      <c r="E291" s="68" t="s">
        <v>19</v>
      </c>
      <c r="F291" s="74">
        <v>42518</v>
      </c>
      <c r="G291" s="83">
        <f>365.63+117.53+86.86</f>
        <v>570.02</v>
      </c>
      <c r="K291" s="133"/>
      <c r="L291" s="63"/>
      <c r="M291" s="63"/>
      <c r="N291" s="63"/>
      <c r="O291" s="63"/>
      <c r="P291" s="63"/>
      <c r="Q291" s="63">
        <f t="shared" si="18"/>
        <v>570.02</v>
      </c>
      <c r="R291" s="63">
        <f t="shared" si="19"/>
        <v>0</v>
      </c>
      <c r="S291" s="63">
        <f t="shared" si="20"/>
        <v>570.02</v>
      </c>
    </row>
    <row r="292" spans="1:19" x14ac:dyDescent="0.2">
      <c r="A292" s="68">
        <v>130699</v>
      </c>
      <c r="B292" s="68" t="s">
        <v>6361</v>
      </c>
      <c r="C292" s="76">
        <v>190</v>
      </c>
      <c r="D292" s="72" t="s">
        <v>6430</v>
      </c>
      <c r="E292" s="68" t="s">
        <v>19</v>
      </c>
      <c r="F292" s="74">
        <v>42518</v>
      </c>
      <c r="G292" s="83">
        <f>98</f>
        <v>98</v>
      </c>
      <c r="K292" s="133"/>
      <c r="L292" s="63"/>
      <c r="M292" s="63"/>
      <c r="N292" s="63"/>
      <c r="O292" s="63"/>
      <c r="P292" s="63"/>
      <c r="Q292" s="63">
        <f t="shared" si="18"/>
        <v>98</v>
      </c>
      <c r="R292" s="63">
        <f t="shared" si="19"/>
        <v>0</v>
      </c>
      <c r="S292" s="63">
        <f t="shared" si="20"/>
        <v>98</v>
      </c>
    </row>
    <row r="293" spans="1:19" x14ac:dyDescent="0.2">
      <c r="A293" s="68">
        <v>130699</v>
      </c>
      <c r="B293" s="68" t="s">
        <v>6361</v>
      </c>
      <c r="C293" s="76">
        <v>190</v>
      </c>
      <c r="D293" s="72" t="s">
        <v>6431</v>
      </c>
      <c r="E293" s="68" t="s">
        <v>19</v>
      </c>
      <c r="F293" s="74">
        <v>42518</v>
      </c>
      <c r="G293" s="83">
        <f>60.4</f>
        <v>60.4</v>
      </c>
      <c r="K293" s="133"/>
      <c r="L293" s="63"/>
      <c r="M293" s="63"/>
      <c r="N293" s="63"/>
      <c r="O293" s="63"/>
      <c r="P293" s="63"/>
      <c r="Q293" s="63">
        <f t="shared" si="18"/>
        <v>60.4</v>
      </c>
      <c r="R293" s="63">
        <f t="shared" si="19"/>
        <v>0</v>
      </c>
      <c r="S293" s="63">
        <f t="shared" si="20"/>
        <v>60.4</v>
      </c>
    </row>
    <row r="294" spans="1:19" x14ac:dyDescent="0.2">
      <c r="A294" s="68">
        <v>132890</v>
      </c>
      <c r="B294" s="68" t="s">
        <v>6362</v>
      </c>
      <c r="C294" s="76">
        <v>191</v>
      </c>
      <c r="D294" s="72" t="s">
        <v>6548</v>
      </c>
      <c r="E294" s="68" t="s">
        <v>19</v>
      </c>
      <c r="F294" s="74">
        <v>42519</v>
      </c>
      <c r="G294" s="83">
        <f>349</f>
        <v>349</v>
      </c>
      <c r="K294" s="133"/>
      <c r="L294" s="63"/>
      <c r="M294" s="63"/>
      <c r="N294" s="63"/>
      <c r="O294" s="63"/>
      <c r="P294" s="63"/>
      <c r="Q294" s="63">
        <f t="shared" si="18"/>
        <v>349</v>
      </c>
      <c r="R294" s="63">
        <f t="shared" si="19"/>
        <v>0</v>
      </c>
      <c r="S294" s="63">
        <f t="shared" si="20"/>
        <v>349</v>
      </c>
    </row>
    <row r="295" spans="1:19" x14ac:dyDescent="0.2">
      <c r="A295" s="71">
        <v>136736</v>
      </c>
      <c r="B295" s="71" t="s">
        <v>6363</v>
      </c>
      <c r="C295" s="76">
        <v>192</v>
      </c>
      <c r="D295" s="73" t="s">
        <v>6432</v>
      </c>
      <c r="E295" s="71" t="s">
        <v>19</v>
      </c>
      <c r="F295" s="75">
        <v>42519</v>
      </c>
      <c r="G295" s="83">
        <f>158.76+148.2+439.56</f>
        <v>746.52</v>
      </c>
      <c r="K295" s="133"/>
      <c r="L295" s="63"/>
      <c r="M295" s="63"/>
      <c r="N295" s="63"/>
      <c r="O295" s="63"/>
      <c r="P295" s="63"/>
      <c r="Q295" s="63">
        <f t="shared" si="18"/>
        <v>746.52</v>
      </c>
      <c r="R295" s="63">
        <f t="shared" si="19"/>
        <v>0</v>
      </c>
      <c r="S295" s="63">
        <f t="shared" si="20"/>
        <v>746.52</v>
      </c>
    </row>
    <row r="296" spans="1:19" x14ac:dyDescent="0.2">
      <c r="A296" s="71">
        <v>131373</v>
      </c>
      <c r="B296" s="71" t="s">
        <v>5881</v>
      </c>
      <c r="C296" s="76">
        <v>193</v>
      </c>
      <c r="D296" s="73" t="s">
        <v>6617</v>
      </c>
      <c r="E296" s="71" t="s">
        <v>19</v>
      </c>
      <c r="F296" s="75">
        <v>42520</v>
      </c>
      <c r="G296" s="83">
        <f>17.61+640.37+331.3+41.3+104.86+216.74+104.86+163.52+481.3+216.74</f>
        <v>2318.5999999999995</v>
      </c>
      <c r="I296" s="63">
        <f>566.67</f>
        <v>566.66999999999996</v>
      </c>
      <c r="K296" s="133"/>
      <c r="L296" s="63"/>
      <c r="M296" s="63"/>
      <c r="N296" s="63"/>
      <c r="O296" s="63"/>
      <c r="P296" s="63"/>
      <c r="Q296" s="63">
        <f t="shared" si="18"/>
        <v>2885.2699999999995</v>
      </c>
      <c r="R296" s="63">
        <f t="shared" si="19"/>
        <v>0</v>
      </c>
      <c r="S296" s="63">
        <f t="shared" si="20"/>
        <v>2885.2699999999995</v>
      </c>
    </row>
    <row r="297" spans="1:19" x14ac:dyDescent="0.2">
      <c r="A297" s="68">
        <v>132535</v>
      </c>
      <c r="B297" s="68" t="s">
        <v>6364</v>
      </c>
      <c r="C297" s="76">
        <v>194</v>
      </c>
      <c r="D297" s="72" t="s">
        <v>6433</v>
      </c>
      <c r="E297" s="68" t="s">
        <v>19</v>
      </c>
      <c r="F297" s="74">
        <v>42520</v>
      </c>
      <c r="G297" s="83">
        <f>394.65</f>
        <v>394.65</v>
      </c>
      <c r="K297" s="133"/>
      <c r="L297" s="63"/>
      <c r="M297" s="63"/>
      <c r="N297" s="63"/>
      <c r="O297" s="63"/>
      <c r="P297" s="63"/>
      <c r="Q297" s="63">
        <f t="shared" si="18"/>
        <v>394.65</v>
      </c>
      <c r="R297" s="63">
        <f t="shared" si="19"/>
        <v>0</v>
      </c>
      <c r="S297" s="63">
        <f t="shared" si="20"/>
        <v>394.65</v>
      </c>
    </row>
    <row r="298" spans="1:19" x14ac:dyDescent="0.2">
      <c r="A298" s="68">
        <v>132535</v>
      </c>
      <c r="B298" s="68" t="s">
        <v>6364</v>
      </c>
      <c r="C298" s="76">
        <v>194</v>
      </c>
      <c r="D298" s="72" t="s">
        <v>6434</v>
      </c>
      <c r="E298" s="68" t="s">
        <v>19</v>
      </c>
      <c r="F298" s="74">
        <v>42520</v>
      </c>
      <c r="G298" s="83">
        <f>265.5</f>
        <v>265.5</v>
      </c>
      <c r="K298" s="133"/>
      <c r="L298" s="63"/>
      <c r="M298" s="63"/>
      <c r="N298" s="63"/>
      <c r="O298" s="63"/>
      <c r="P298" s="63"/>
      <c r="Q298" s="63">
        <f t="shared" si="18"/>
        <v>265.5</v>
      </c>
      <c r="R298" s="63">
        <f t="shared" si="19"/>
        <v>0</v>
      </c>
      <c r="S298" s="63">
        <f t="shared" si="20"/>
        <v>265.5</v>
      </c>
    </row>
    <row r="299" spans="1:19" x14ac:dyDescent="0.2">
      <c r="A299" s="68">
        <v>129702</v>
      </c>
      <c r="B299" s="68" t="s">
        <v>6365</v>
      </c>
      <c r="C299" s="76">
        <v>195</v>
      </c>
      <c r="D299" s="72" t="s">
        <v>6435</v>
      </c>
      <c r="E299" s="68" t="s">
        <v>19</v>
      </c>
      <c r="F299" s="74">
        <v>42521</v>
      </c>
      <c r="G299" s="83">
        <f>499.55+86.66+188.14</f>
        <v>774.35</v>
      </c>
      <c r="K299" s="133"/>
      <c r="L299" s="63"/>
      <c r="M299" s="63"/>
      <c r="N299" s="63"/>
      <c r="O299" s="63"/>
      <c r="P299" s="63"/>
      <c r="Q299" s="63">
        <f t="shared" si="18"/>
        <v>774.35</v>
      </c>
      <c r="R299" s="63">
        <f t="shared" si="19"/>
        <v>0</v>
      </c>
      <c r="S299" s="63">
        <f t="shared" si="20"/>
        <v>774.35</v>
      </c>
    </row>
    <row r="300" spans="1:19" x14ac:dyDescent="0.2">
      <c r="A300" s="68">
        <v>130215</v>
      </c>
      <c r="B300" s="68" t="s">
        <v>6366</v>
      </c>
      <c r="C300" s="76">
        <v>196</v>
      </c>
      <c r="D300" s="72" t="s">
        <v>6436</v>
      </c>
      <c r="E300" s="68" t="s">
        <v>19</v>
      </c>
      <c r="F300" s="74">
        <v>42521</v>
      </c>
      <c r="G300" s="83">
        <f>530.67+299+238+41.3+157.72+228.06+185.29+887.56+76.36+300+6115.12+75.83+163.52+47.56+75.83+371.3+75.83+75.83+107.48+481.3+110.36+236.6+236.6+110.36+110.36+481.3</f>
        <v>11819.14</v>
      </c>
      <c r="I300" s="63">
        <v>3400</v>
      </c>
      <c r="K300" s="133"/>
      <c r="L300" s="63"/>
      <c r="M300" s="63"/>
      <c r="N300" s="63"/>
      <c r="O300" s="63"/>
      <c r="P300" s="63"/>
      <c r="Q300" s="63">
        <f t="shared" si="18"/>
        <v>15219.14</v>
      </c>
      <c r="R300" s="63">
        <f t="shared" si="19"/>
        <v>0</v>
      </c>
      <c r="S300" s="63">
        <f t="shared" si="20"/>
        <v>15219.14</v>
      </c>
    </row>
    <row r="301" spans="1:19" x14ac:dyDescent="0.2">
      <c r="A301" s="68">
        <v>136991</v>
      </c>
      <c r="B301" s="68" t="s">
        <v>470</v>
      </c>
      <c r="C301" s="76">
        <v>197</v>
      </c>
      <c r="D301" s="72" t="s">
        <v>6482</v>
      </c>
      <c r="E301" s="68" t="s">
        <v>19</v>
      </c>
      <c r="F301" s="74">
        <v>42522</v>
      </c>
      <c r="G301" s="83">
        <f>4804.17+241.3+238+169.65+121.41+146.48+41.3+964.49+41.3+110.44+369.77+156.21+110.44+1281.1+41.3+481.3+156.21+239.3</f>
        <v>9714.1699999999964</v>
      </c>
      <c r="I301" s="63">
        <f>3400+550</f>
        <v>3950</v>
      </c>
      <c r="K301" s="133"/>
      <c r="L301" s="63"/>
      <c r="M301" s="63"/>
      <c r="N301" s="63"/>
      <c r="O301" s="63"/>
      <c r="P301" s="63"/>
      <c r="Q301" s="63">
        <f t="shared" si="18"/>
        <v>13664.169999999996</v>
      </c>
      <c r="R301" s="63">
        <f t="shared" si="19"/>
        <v>0</v>
      </c>
      <c r="S301" s="63">
        <f t="shared" si="20"/>
        <v>13664.169999999996</v>
      </c>
    </row>
    <row r="302" spans="1:19" x14ac:dyDescent="0.2">
      <c r="A302" s="68">
        <v>123390</v>
      </c>
      <c r="B302" s="68" t="s">
        <v>6439</v>
      </c>
      <c r="C302" s="76">
        <v>198</v>
      </c>
      <c r="D302" s="72" t="s">
        <v>6753</v>
      </c>
      <c r="E302" s="68" t="s">
        <v>19</v>
      </c>
      <c r="F302" s="74">
        <v>42523</v>
      </c>
      <c r="G302" s="83">
        <v>73.75</v>
      </c>
      <c r="K302" s="133"/>
      <c r="L302" s="63"/>
      <c r="M302" s="63"/>
      <c r="N302" s="63"/>
      <c r="O302" s="63"/>
      <c r="P302" s="63"/>
      <c r="Q302" s="63">
        <f t="shared" si="18"/>
        <v>73.75</v>
      </c>
      <c r="R302" s="63">
        <f t="shared" si="19"/>
        <v>0</v>
      </c>
      <c r="S302" s="63">
        <f t="shared" si="20"/>
        <v>73.75</v>
      </c>
    </row>
    <row r="303" spans="1:19" x14ac:dyDescent="0.2">
      <c r="A303" s="68">
        <v>133795</v>
      </c>
      <c r="B303" s="68" t="s">
        <v>6440</v>
      </c>
      <c r="C303" s="76">
        <v>199</v>
      </c>
      <c r="D303" s="72" t="s">
        <v>6483</v>
      </c>
      <c r="E303" s="68" t="s">
        <v>19</v>
      </c>
      <c r="F303" s="74">
        <v>42523</v>
      </c>
      <c r="G303" s="83">
        <f>144</f>
        <v>144</v>
      </c>
      <c r="K303" s="133"/>
      <c r="L303" s="63"/>
      <c r="M303" s="63"/>
      <c r="N303" s="63"/>
      <c r="O303" s="63"/>
      <c r="P303" s="63"/>
      <c r="Q303" s="63">
        <f t="shared" si="18"/>
        <v>144</v>
      </c>
      <c r="R303" s="63">
        <f t="shared" si="19"/>
        <v>0</v>
      </c>
      <c r="S303" s="63">
        <f t="shared" si="20"/>
        <v>144</v>
      </c>
    </row>
    <row r="304" spans="1:19" x14ac:dyDescent="0.2">
      <c r="A304" s="68">
        <v>124271</v>
      </c>
      <c r="B304" s="68" t="s">
        <v>6441</v>
      </c>
      <c r="C304" s="76">
        <v>200</v>
      </c>
      <c r="D304" s="72" t="s">
        <v>6484</v>
      </c>
      <c r="E304" s="68" t="s">
        <v>19</v>
      </c>
      <c r="F304" s="74">
        <v>42524</v>
      </c>
      <c r="G304" s="83">
        <f>142.3</f>
        <v>142.30000000000001</v>
      </c>
      <c r="K304" s="133"/>
      <c r="L304" s="63"/>
      <c r="M304" s="63"/>
      <c r="N304" s="63"/>
      <c r="O304" s="63"/>
      <c r="P304" s="63"/>
      <c r="Q304" s="63">
        <f t="shared" si="18"/>
        <v>142.30000000000001</v>
      </c>
      <c r="R304" s="63">
        <f t="shared" si="19"/>
        <v>0</v>
      </c>
      <c r="S304" s="63">
        <f t="shared" si="20"/>
        <v>142.30000000000001</v>
      </c>
    </row>
    <row r="305" spans="1:19" x14ac:dyDescent="0.2">
      <c r="A305" s="68">
        <v>133185</v>
      </c>
      <c r="B305" s="68" t="s">
        <v>6442</v>
      </c>
      <c r="C305" s="76">
        <v>201</v>
      </c>
      <c r="D305" s="72" t="s">
        <v>6485</v>
      </c>
      <c r="E305" s="68" t="s">
        <v>19</v>
      </c>
      <c r="F305" s="74">
        <v>42524</v>
      </c>
      <c r="G305" s="83"/>
      <c r="K305" s="133"/>
      <c r="L305" s="63"/>
      <c r="M305" s="63"/>
      <c r="N305" s="63"/>
      <c r="O305" s="63"/>
      <c r="P305" s="63"/>
      <c r="Q305" s="63">
        <f t="shared" si="18"/>
        <v>0</v>
      </c>
      <c r="R305" s="63">
        <f t="shared" si="19"/>
        <v>0</v>
      </c>
      <c r="S305" s="63">
        <f t="shared" si="20"/>
        <v>0</v>
      </c>
    </row>
    <row r="306" spans="1:19" x14ac:dyDescent="0.2">
      <c r="A306" s="68">
        <v>125075</v>
      </c>
      <c r="B306" s="68" t="s">
        <v>6443</v>
      </c>
      <c r="C306" s="76">
        <v>202</v>
      </c>
      <c r="D306" s="72" t="s">
        <v>6486</v>
      </c>
      <c r="E306" s="68" t="s">
        <v>19</v>
      </c>
      <c r="F306" s="74">
        <v>42524</v>
      </c>
      <c r="G306" s="83">
        <f>209.7+35</f>
        <v>244.7</v>
      </c>
      <c r="K306" s="133"/>
      <c r="L306" s="63"/>
      <c r="M306" s="63"/>
      <c r="N306" s="63"/>
      <c r="O306" s="63"/>
      <c r="P306" s="63"/>
      <c r="Q306" s="63">
        <f t="shared" si="18"/>
        <v>244.7</v>
      </c>
      <c r="R306" s="63">
        <f t="shared" si="19"/>
        <v>0</v>
      </c>
      <c r="S306" s="63">
        <f t="shared" si="20"/>
        <v>244.7</v>
      </c>
    </row>
    <row r="307" spans="1:19" x14ac:dyDescent="0.2">
      <c r="A307" s="68">
        <v>126374</v>
      </c>
      <c r="B307" s="68" t="s">
        <v>6444</v>
      </c>
      <c r="C307" s="76">
        <v>203</v>
      </c>
      <c r="D307" s="72" t="s">
        <v>6487</v>
      </c>
      <c r="E307" s="68" t="s">
        <v>19</v>
      </c>
      <c r="F307" s="74">
        <v>42525</v>
      </c>
      <c r="G307" s="83">
        <f>460.09</f>
        <v>460.09</v>
      </c>
      <c r="K307" s="133"/>
      <c r="L307" s="63"/>
      <c r="M307" s="63"/>
      <c r="N307" s="63"/>
      <c r="O307" s="63"/>
      <c r="P307" s="63"/>
      <c r="Q307" s="63">
        <f t="shared" si="18"/>
        <v>460.09</v>
      </c>
      <c r="R307" s="63">
        <f t="shared" si="19"/>
        <v>0</v>
      </c>
      <c r="S307" s="63">
        <f t="shared" si="20"/>
        <v>460.09</v>
      </c>
    </row>
    <row r="308" spans="1:19" x14ac:dyDescent="0.2">
      <c r="A308" s="68">
        <v>133541</v>
      </c>
      <c r="B308" s="68" t="s">
        <v>6445</v>
      </c>
      <c r="C308" s="76">
        <v>204</v>
      </c>
      <c r="D308" s="72" t="s">
        <v>6488</v>
      </c>
      <c r="E308" s="68" t="s">
        <v>6437</v>
      </c>
      <c r="F308" s="74">
        <v>42527</v>
      </c>
      <c r="G308" s="83">
        <f>58.1</f>
        <v>58.1</v>
      </c>
      <c r="K308" s="133"/>
      <c r="L308" s="63"/>
      <c r="M308" s="63"/>
      <c r="N308" s="63"/>
      <c r="O308" s="63"/>
      <c r="P308" s="63"/>
      <c r="Q308" s="63">
        <f t="shared" si="18"/>
        <v>58.1</v>
      </c>
      <c r="R308" s="63">
        <f t="shared" si="19"/>
        <v>0</v>
      </c>
      <c r="S308" s="63">
        <f t="shared" si="20"/>
        <v>58.1</v>
      </c>
    </row>
    <row r="309" spans="1:19" x14ac:dyDescent="0.2">
      <c r="A309" s="68">
        <v>133541</v>
      </c>
      <c r="B309" s="68" t="s">
        <v>6445</v>
      </c>
      <c r="C309" s="76">
        <v>204</v>
      </c>
      <c r="D309" s="72" t="s">
        <v>6489</v>
      </c>
      <c r="E309" s="68" t="s">
        <v>6437</v>
      </c>
      <c r="F309" s="74">
        <v>42527</v>
      </c>
      <c r="G309" s="83">
        <f>145.4</f>
        <v>145.4</v>
      </c>
      <c r="K309" s="133"/>
      <c r="L309" s="63"/>
      <c r="M309" s="63"/>
      <c r="N309" s="63"/>
      <c r="O309" s="63"/>
      <c r="P309" s="63"/>
      <c r="Q309" s="63">
        <f t="shared" si="18"/>
        <v>145.4</v>
      </c>
      <c r="R309" s="63">
        <f t="shared" si="19"/>
        <v>0</v>
      </c>
      <c r="S309" s="63">
        <f t="shared" si="20"/>
        <v>145.4</v>
      </c>
    </row>
    <row r="310" spans="1:19" x14ac:dyDescent="0.2">
      <c r="A310" s="68">
        <v>130905</v>
      </c>
      <c r="B310" s="68" t="s">
        <v>6446</v>
      </c>
      <c r="C310" s="76">
        <v>205</v>
      </c>
      <c r="D310" s="72" t="s">
        <v>6490</v>
      </c>
      <c r="E310" s="68" t="s">
        <v>19</v>
      </c>
      <c r="F310" s="74">
        <v>42527</v>
      </c>
      <c r="G310" s="83">
        <f>304.91</f>
        <v>304.91000000000003</v>
      </c>
      <c r="K310" s="133"/>
      <c r="L310" s="63"/>
      <c r="M310" s="63"/>
      <c r="N310" s="63"/>
      <c r="O310" s="63"/>
      <c r="P310" s="63"/>
      <c r="Q310" s="63">
        <f t="shared" si="18"/>
        <v>304.91000000000003</v>
      </c>
      <c r="R310" s="63">
        <f t="shared" si="19"/>
        <v>0</v>
      </c>
      <c r="S310" s="63">
        <f t="shared" si="20"/>
        <v>304.91000000000003</v>
      </c>
    </row>
    <row r="311" spans="1:19" x14ac:dyDescent="0.2">
      <c r="B311" s="68"/>
      <c r="C311" s="76">
        <v>206</v>
      </c>
      <c r="D311" s="78"/>
      <c r="E311" s="68"/>
      <c r="F311" s="74"/>
      <c r="G311" s="83"/>
      <c r="K311" s="133"/>
      <c r="L311" s="63"/>
      <c r="M311" s="63"/>
      <c r="N311" s="63"/>
      <c r="O311" s="63"/>
      <c r="P311" s="63"/>
      <c r="Q311" s="63">
        <f t="shared" si="18"/>
        <v>0</v>
      </c>
      <c r="R311" s="63">
        <f t="shared" si="19"/>
        <v>0</v>
      </c>
      <c r="S311" s="63">
        <f t="shared" si="20"/>
        <v>0</v>
      </c>
    </row>
    <row r="312" spans="1:19" x14ac:dyDescent="0.2">
      <c r="A312" s="68">
        <v>126027</v>
      </c>
      <c r="B312" s="68" t="s">
        <v>6447</v>
      </c>
      <c r="C312" s="76">
        <v>207</v>
      </c>
      <c r="D312" s="72" t="s">
        <v>6491</v>
      </c>
      <c r="E312" s="68" t="s">
        <v>19</v>
      </c>
      <c r="F312" s="74">
        <v>42527</v>
      </c>
      <c r="G312" s="83">
        <f>213.3</f>
        <v>213.3</v>
      </c>
      <c r="K312" s="133"/>
      <c r="L312" s="63"/>
      <c r="M312" s="63"/>
      <c r="N312" s="63"/>
      <c r="O312" s="63"/>
      <c r="P312" s="63"/>
      <c r="Q312" s="63">
        <f t="shared" si="18"/>
        <v>213.3</v>
      </c>
      <c r="R312" s="63">
        <f t="shared" si="19"/>
        <v>0</v>
      </c>
      <c r="S312" s="63">
        <f t="shared" si="20"/>
        <v>213.3</v>
      </c>
    </row>
    <row r="313" spans="1:19" x14ac:dyDescent="0.2">
      <c r="A313" s="68">
        <v>126027</v>
      </c>
      <c r="B313" s="68" t="s">
        <v>6447</v>
      </c>
      <c r="C313" s="76">
        <v>207</v>
      </c>
      <c r="D313" s="72" t="s">
        <v>6492</v>
      </c>
      <c r="E313" s="68" t="s">
        <v>19</v>
      </c>
      <c r="F313" s="74">
        <v>42527</v>
      </c>
      <c r="G313" s="83">
        <f>40.9</f>
        <v>40.9</v>
      </c>
      <c r="K313" s="133"/>
      <c r="L313" s="63"/>
      <c r="M313" s="63"/>
      <c r="N313" s="63"/>
      <c r="O313" s="63"/>
      <c r="P313" s="63"/>
      <c r="Q313" s="63">
        <f t="shared" si="18"/>
        <v>40.9</v>
      </c>
      <c r="R313" s="63">
        <f t="shared" si="19"/>
        <v>0</v>
      </c>
      <c r="S313" s="63">
        <f t="shared" si="20"/>
        <v>40.9</v>
      </c>
    </row>
    <row r="314" spans="1:19" x14ac:dyDescent="0.2">
      <c r="A314" s="68">
        <v>126027</v>
      </c>
      <c r="B314" s="68" t="s">
        <v>6447</v>
      </c>
      <c r="C314" s="76">
        <v>207</v>
      </c>
      <c r="D314" s="72" t="s">
        <v>6493</v>
      </c>
      <c r="E314" s="68" t="s">
        <v>19</v>
      </c>
      <c r="F314" s="74">
        <v>42527</v>
      </c>
      <c r="G314" s="83">
        <f>277.9</f>
        <v>277.89999999999998</v>
      </c>
      <c r="K314" s="133"/>
      <c r="L314" s="63"/>
      <c r="M314" s="63"/>
      <c r="N314" s="63"/>
      <c r="O314" s="63"/>
      <c r="P314" s="63"/>
      <c r="Q314" s="63">
        <f t="shared" si="18"/>
        <v>277.89999999999998</v>
      </c>
      <c r="R314" s="63">
        <f t="shared" si="19"/>
        <v>0</v>
      </c>
      <c r="S314" s="63">
        <f t="shared" si="20"/>
        <v>277.89999999999998</v>
      </c>
    </row>
    <row r="315" spans="1:19" x14ac:dyDescent="0.2">
      <c r="A315" s="68">
        <v>124236</v>
      </c>
      <c r="B315" s="68" t="s">
        <v>6448</v>
      </c>
      <c r="C315" s="76">
        <v>208</v>
      </c>
      <c r="D315" s="72" t="s">
        <v>6494</v>
      </c>
      <c r="E315" s="68" t="s">
        <v>19</v>
      </c>
      <c r="F315" s="74">
        <v>42528</v>
      </c>
      <c r="G315" s="83">
        <f>517.3+20.22+35</f>
        <v>572.52</v>
      </c>
      <c r="K315" s="133"/>
      <c r="L315" s="63"/>
      <c r="M315" s="63"/>
      <c r="N315" s="63"/>
      <c r="O315" s="63"/>
      <c r="P315" s="63"/>
      <c r="Q315" s="63">
        <f t="shared" si="18"/>
        <v>572.52</v>
      </c>
      <c r="R315" s="63">
        <f t="shared" si="19"/>
        <v>0</v>
      </c>
      <c r="S315" s="63">
        <f t="shared" si="20"/>
        <v>572.52</v>
      </c>
    </row>
    <row r="316" spans="1:19" x14ac:dyDescent="0.2">
      <c r="A316" s="68">
        <v>135517</v>
      </c>
      <c r="B316" s="68" t="s">
        <v>6449</v>
      </c>
      <c r="C316" s="76">
        <v>209</v>
      </c>
      <c r="D316" s="72" t="s">
        <v>6495</v>
      </c>
      <c r="E316" s="68" t="s">
        <v>19</v>
      </c>
      <c r="F316" s="74">
        <v>42528</v>
      </c>
      <c r="G316" s="83">
        <f>109.1</f>
        <v>109.1</v>
      </c>
      <c r="K316" s="133"/>
      <c r="L316" s="63"/>
      <c r="M316" s="63"/>
      <c r="N316" s="63"/>
      <c r="O316" s="63"/>
      <c r="P316" s="63"/>
      <c r="Q316" s="63">
        <f t="shared" si="18"/>
        <v>109.1</v>
      </c>
      <c r="R316" s="63">
        <f t="shared" si="19"/>
        <v>0</v>
      </c>
      <c r="S316" s="63">
        <f t="shared" si="20"/>
        <v>109.1</v>
      </c>
    </row>
    <row r="317" spans="1:19" x14ac:dyDescent="0.2">
      <c r="A317" s="68">
        <v>135923</v>
      </c>
      <c r="B317" s="68" t="s">
        <v>6450</v>
      </c>
      <c r="C317" s="76">
        <v>210</v>
      </c>
      <c r="D317" s="72" t="s">
        <v>6496</v>
      </c>
      <c r="E317" s="68" t="s">
        <v>19</v>
      </c>
      <c r="F317" s="74">
        <v>42529</v>
      </c>
      <c r="G317" s="83">
        <v>386</v>
      </c>
      <c r="K317" s="133"/>
      <c r="L317" s="63"/>
      <c r="M317" s="63"/>
      <c r="N317" s="63"/>
      <c r="O317" s="63"/>
      <c r="P317" s="63"/>
      <c r="Q317" s="63">
        <f t="shared" si="18"/>
        <v>386</v>
      </c>
      <c r="R317" s="63">
        <f t="shared" si="19"/>
        <v>0</v>
      </c>
      <c r="S317" s="63">
        <f t="shared" si="20"/>
        <v>386</v>
      </c>
    </row>
    <row r="318" spans="1:19" x14ac:dyDescent="0.2">
      <c r="A318" s="68">
        <v>121811</v>
      </c>
      <c r="B318" s="68" t="s">
        <v>6451</v>
      </c>
      <c r="C318" s="76">
        <v>211</v>
      </c>
      <c r="D318" s="72" t="s">
        <v>6497</v>
      </c>
      <c r="E318" s="68" t="s">
        <v>19</v>
      </c>
      <c r="F318" s="74">
        <v>42529</v>
      </c>
      <c r="G318" s="83">
        <f>262.79</f>
        <v>262.79000000000002</v>
      </c>
      <c r="K318" s="133"/>
      <c r="L318" s="63"/>
      <c r="M318" s="63"/>
      <c r="N318" s="63"/>
      <c r="O318" s="63"/>
      <c r="P318" s="63"/>
      <c r="Q318" s="63">
        <f t="shared" si="18"/>
        <v>262.79000000000002</v>
      </c>
      <c r="R318" s="63">
        <f t="shared" si="19"/>
        <v>0</v>
      </c>
      <c r="S318" s="63">
        <f t="shared" si="20"/>
        <v>262.79000000000002</v>
      </c>
    </row>
    <row r="319" spans="1:19" x14ac:dyDescent="0.2">
      <c r="A319" s="68">
        <v>121811</v>
      </c>
      <c r="B319" s="68" t="s">
        <v>6451</v>
      </c>
      <c r="C319" s="76">
        <v>211</v>
      </c>
      <c r="D319" s="72" t="s">
        <v>6498</v>
      </c>
      <c r="E319" s="68" t="s">
        <v>19</v>
      </c>
      <c r="F319" s="74">
        <v>42529</v>
      </c>
      <c r="G319" s="83">
        <f>122.9</f>
        <v>122.9</v>
      </c>
      <c r="K319" s="133"/>
      <c r="L319" s="63"/>
      <c r="M319" s="63"/>
      <c r="N319" s="63"/>
      <c r="O319" s="63"/>
      <c r="P319" s="63"/>
      <c r="Q319" s="63">
        <f t="shared" si="18"/>
        <v>122.9</v>
      </c>
      <c r="R319" s="63">
        <f t="shared" si="19"/>
        <v>0</v>
      </c>
      <c r="S319" s="63">
        <f t="shared" si="20"/>
        <v>122.9</v>
      </c>
    </row>
    <row r="320" spans="1:19" x14ac:dyDescent="0.2">
      <c r="A320" s="68">
        <v>125368</v>
      </c>
      <c r="B320" s="68" t="s">
        <v>6452</v>
      </c>
      <c r="C320" s="76">
        <v>212</v>
      </c>
      <c r="D320" s="72" t="s">
        <v>6499</v>
      </c>
      <c r="E320" s="68" t="s">
        <v>19</v>
      </c>
      <c r="F320" s="74">
        <v>42529</v>
      </c>
      <c r="G320" s="83">
        <f>249.44</f>
        <v>249.44</v>
      </c>
      <c r="K320" s="133"/>
      <c r="L320" s="63"/>
      <c r="M320" s="63"/>
      <c r="N320" s="63"/>
      <c r="O320" s="63"/>
      <c r="P320" s="63"/>
      <c r="Q320" s="63">
        <f t="shared" si="18"/>
        <v>249.44</v>
      </c>
      <c r="R320" s="63">
        <f t="shared" si="19"/>
        <v>0</v>
      </c>
      <c r="S320" s="63">
        <f t="shared" si="20"/>
        <v>249.44</v>
      </c>
    </row>
    <row r="321" spans="1:19" x14ac:dyDescent="0.2">
      <c r="A321" s="68">
        <v>123401</v>
      </c>
      <c r="B321" s="68" t="s">
        <v>6453</v>
      </c>
      <c r="C321" s="76">
        <v>213</v>
      </c>
      <c r="D321" s="72" t="s">
        <v>6500</v>
      </c>
      <c r="E321" s="68" t="s">
        <v>19</v>
      </c>
      <c r="F321" s="74">
        <v>42531</v>
      </c>
      <c r="G321" s="83">
        <f>75.52</f>
        <v>75.52</v>
      </c>
      <c r="K321" s="133"/>
      <c r="L321" s="63"/>
      <c r="M321" s="63"/>
      <c r="N321" s="63"/>
      <c r="O321" s="63"/>
      <c r="P321" s="63"/>
      <c r="Q321" s="63">
        <f t="shared" si="18"/>
        <v>75.52</v>
      </c>
      <c r="R321" s="63">
        <f t="shared" si="19"/>
        <v>0</v>
      </c>
      <c r="S321" s="63">
        <f t="shared" si="20"/>
        <v>75.52</v>
      </c>
    </row>
    <row r="322" spans="1:19" x14ac:dyDescent="0.2">
      <c r="A322" s="68">
        <v>128295</v>
      </c>
      <c r="B322" s="68" t="s">
        <v>6454</v>
      </c>
      <c r="C322" s="76">
        <v>214</v>
      </c>
      <c r="D322" s="72" t="s">
        <v>6501</v>
      </c>
      <c r="E322" s="68" t="s">
        <v>19</v>
      </c>
      <c r="F322" s="74">
        <v>42531</v>
      </c>
      <c r="G322" s="83">
        <f>276.77</f>
        <v>276.77</v>
      </c>
      <c r="K322" s="133"/>
      <c r="L322" s="63"/>
      <c r="M322" s="63"/>
      <c r="N322" s="63"/>
      <c r="O322" s="63"/>
      <c r="P322" s="63"/>
      <c r="Q322" s="63">
        <f t="shared" si="18"/>
        <v>276.77</v>
      </c>
      <c r="R322" s="63">
        <f t="shared" si="19"/>
        <v>0</v>
      </c>
      <c r="S322" s="63">
        <f t="shared" si="20"/>
        <v>276.77</v>
      </c>
    </row>
    <row r="323" spans="1:19" x14ac:dyDescent="0.2">
      <c r="A323" s="68">
        <v>128258</v>
      </c>
      <c r="B323" s="68" t="s">
        <v>5891</v>
      </c>
      <c r="C323" s="76">
        <v>215</v>
      </c>
      <c r="D323" s="72" t="s">
        <v>6502</v>
      </c>
      <c r="E323" s="68" t="s">
        <v>19</v>
      </c>
      <c r="F323" s="74">
        <v>42533</v>
      </c>
      <c r="G323" s="83">
        <f>224.29</f>
        <v>224.29</v>
      </c>
      <c r="K323" s="133"/>
      <c r="L323" s="63"/>
      <c r="M323" s="63"/>
      <c r="N323" s="63"/>
      <c r="O323" s="63"/>
      <c r="P323" s="63"/>
      <c r="Q323" s="63">
        <f t="shared" si="18"/>
        <v>224.29</v>
      </c>
      <c r="R323" s="63">
        <f t="shared" si="19"/>
        <v>0</v>
      </c>
      <c r="S323" s="63">
        <f t="shared" si="20"/>
        <v>224.29</v>
      </c>
    </row>
    <row r="324" spans="1:19" x14ac:dyDescent="0.2">
      <c r="A324" s="68">
        <v>124232</v>
      </c>
      <c r="B324" s="68" t="s">
        <v>6455</v>
      </c>
      <c r="C324" s="76">
        <v>216</v>
      </c>
      <c r="D324" s="72" t="s">
        <v>6503</v>
      </c>
      <c r="E324" s="68" t="s">
        <v>19</v>
      </c>
      <c r="F324" s="74">
        <v>42533</v>
      </c>
      <c r="G324" s="83">
        <f>41.3+289.1+320+393.38+152.73+691.49+41.3+327.79+103.03+187.5</f>
        <v>2547.6200000000003</v>
      </c>
      <c r="I324" s="63">
        <v>2663.34</v>
      </c>
      <c r="K324" s="133"/>
      <c r="L324" s="63"/>
      <c r="M324" s="63"/>
      <c r="N324" s="63"/>
      <c r="O324" s="63"/>
      <c r="P324" s="63"/>
      <c r="Q324" s="63">
        <f t="shared" si="18"/>
        <v>5210.9600000000009</v>
      </c>
      <c r="R324" s="63">
        <f t="shared" si="19"/>
        <v>0</v>
      </c>
      <c r="S324" s="63">
        <f t="shared" si="20"/>
        <v>5210.9600000000009</v>
      </c>
    </row>
    <row r="325" spans="1:19" x14ac:dyDescent="0.2">
      <c r="A325" s="68">
        <v>124969</v>
      </c>
      <c r="B325" s="68" t="s">
        <v>6456</v>
      </c>
      <c r="C325" s="76">
        <v>217</v>
      </c>
      <c r="D325" s="72" t="s">
        <v>6504</v>
      </c>
      <c r="E325" s="68" t="s">
        <v>19</v>
      </c>
      <c r="F325" s="74">
        <v>42534</v>
      </c>
      <c r="G325" s="83"/>
      <c r="K325" s="133"/>
      <c r="L325" s="63"/>
      <c r="M325" s="63"/>
      <c r="N325" s="63"/>
      <c r="O325" s="63"/>
      <c r="P325" s="63"/>
      <c r="Q325" s="63">
        <f t="shared" si="18"/>
        <v>0</v>
      </c>
      <c r="R325" s="63">
        <f t="shared" si="19"/>
        <v>0</v>
      </c>
      <c r="S325" s="63">
        <f t="shared" si="20"/>
        <v>0</v>
      </c>
    </row>
    <row r="326" spans="1:19" x14ac:dyDescent="0.2">
      <c r="A326" s="68">
        <v>124969</v>
      </c>
      <c r="B326" s="68" t="s">
        <v>6456</v>
      </c>
      <c r="C326" s="76">
        <v>217</v>
      </c>
      <c r="D326" s="72" t="s">
        <v>6505</v>
      </c>
      <c r="E326" s="68" t="s">
        <v>19</v>
      </c>
      <c r="F326" s="74">
        <v>42534</v>
      </c>
      <c r="G326" s="83"/>
      <c r="K326" s="133"/>
      <c r="L326" s="63"/>
      <c r="M326" s="63"/>
      <c r="N326" s="63"/>
      <c r="O326" s="63"/>
      <c r="P326" s="63"/>
      <c r="Q326" s="63">
        <f t="shared" si="18"/>
        <v>0</v>
      </c>
      <c r="R326" s="63">
        <f t="shared" si="19"/>
        <v>0</v>
      </c>
      <c r="S326" s="63">
        <f t="shared" si="20"/>
        <v>0</v>
      </c>
    </row>
    <row r="327" spans="1:19" x14ac:dyDescent="0.2">
      <c r="A327" s="68">
        <v>120949</v>
      </c>
      <c r="B327" s="68" t="s">
        <v>6457</v>
      </c>
      <c r="C327" s="76">
        <v>218</v>
      </c>
      <c r="D327" s="72" t="s">
        <v>6506</v>
      </c>
      <c r="E327" s="68" t="s">
        <v>19</v>
      </c>
      <c r="F327" s="74">
        <v>42534</v>
      </c>
      <c r="G327" s="83">
        <f>150+300+466.57+430+260+365+19+17.6+345+345+300</f>
        <v>2998.17</v>
      </c>
      <c r="I327" s="63">
        <f>1700+2250</f>
        <v>3950</v>
      </c>
      <c r="K327" s="133"/>
      <c r="L327" s="63"/>
      <c r="M327" s="63"/>
      <c r="N327" s="63"/>
      <c r="O327" s="63"/>
      <c r="P327" s="63"/>
      <c r="Q327" s="63">
        <f t="shared" si="18"/>
        <v>6948.17</v>
      </c>
      <c r="R327" s="63">
        <f t="shared" si="19"/>
        <v>0</v>
      </c>
      <c r="S327" s="63">
        <f t="shared" si="20"/>
        <v>6948.17</v>
      </c>
    </row>
    <row r="328" spans="1:19" x14ac:dyDescent="0.2">
      <c r="A328" s="68">
        <v>120949</v>
      </c>
      <c r="B328" s="68" t="s">
        <v>6457</v>
      </c>
      <c r="C328" s="76">
        <v>218</v>
      </c>
      <c r="D328" s="72" t="s">
        <v>6507</v>
      </c>
      <c r="E328" s="68" t="s">
        <v>19</v>
      </c>
      <c r="F328" s="74">
        <v>42534</v>
      </c>
      <c r="G328" s="83">
        <v>48.2</v>
      </c>
      <c r="K328" s="133"/>
      <c r="L328" s="63"/>
      <c r="M328" s="63"/>
      <c r="N328" s="63"/>
      <c r="O328" s="63"/>
      <c r="P328" s="63"/>
      <c r="Q328" s="63">
        <f t="shared" si="18"/>
        <v>48.2</v>
      </c>
      <c r="R328" s="63">
        <f t="shared" si="19"/>
        <v>0</v>
      </c>
      <c r="S328" s="63">
        <f t="shared" si="20"/>
        <v>48.2</v>
      </c>
    </row>
    <row r="329" spans="1:19" x14ac:dyDescent="0.2">
      <c r="A329" s="68">
        <v>120949</v>
      </c>
      <c r="B329" s="68" t="s">
        <v>6457</v>
      </c>
      <c r="C329" s="76">
        <v>218</v>
      </c>
      <c r="D329" s="72" t="s">
        <v>6508</v>
      </c>
      <c r="E329" s="68" t="s">
        <v>19</v>
      </c>
      <c r="F329" s="74">
        <v>42534</v>
      </c>
      <c r="G329" s="83">
        <v>47.2</v>
      </c>
      <c r="K329" s="133"/>
      <c r="L329" s="63"/>
      <c r="M329" s="63"/>
      <c r="N329" s="63"/>
      <c r="O329" s="63"/>
      <c r="P329" s="63"/>
      <c r="Q329" s="63">
        <f t="shared" si="18"/>
        <v>47.2</v>
      </c>
      <c r="R329" s="63">
        <f t="shared" si="19"/>
        <v>0</v>
      </c>
      <c r="S329" s="63">
        <f t="shared" si="20"/>
        <v>47.2</v>
      </c>
    </row>
    <row r="330" spans="1:19" x14ac:dyDescent="0.2">
      <c r="A330" s="68">
        <v>120949</v>
      </c>
      <c r="B330" s="68" t="s">
        <v>6457</v>
      </c>
      <c r="C330" s="76">
        <v>218</v>
      </c>
      <c r="D330" s="72" t="s">
        <v>6509</v>
      </c>
      <c r="E330" s="68" t="s">
        <v>19</v>
      </c>
      <c r="F330" s="74">
        <v>42534</v>
      </c>
      <c r="G330" s="83">
        <f>164.26</f>
        <v>164.26</v>
      </c>
      <c r="K330" s="133"/>
      <c r="L330" s="63"/>
      <c r="M330" s="63"/>
      <c r="N330" s="63"/>
      <c r="O330" s="63"/>
      <c r="P330" s="63"/>
      <c r="Q330" s="63">
        <f t="shared" si="18"/>
        <v>164.26</v>
      </c>
      <c r="R330" s="63">
        <f t="shared" si="19"/>
        <v>0</v>
      </c>
      <c r="S330" s="63">
        <f t="shared" si="20"/>
        <v>164.26</v>
      </c>
    </row>
    <row r="331" spans="1:19" x14ac:dyDescent="0.2">
      <c r="A331" s="68">
        <v>127136</v>
      </c>
      <c r="B331" s="68" t="s">
        <v>6458</v>
      </c>
      <c r="C331" s="76">
        <v>219</v>
      </c>
      <c r="D331" s="72" t="s">
        <v>6510</v>
      </c>
      <c r="E331" s="68" t="s">
        <v>4064</v>
      </c>
      <c r="F331" s="74">
        <v>42535</v>
      </c>
      <c r="G331" s="83">
        <f>243+76.5</f>
        <v>319.5</v>
      </c>
      <c r="K331" s="133"/>
      <c r="L331" s="63"/>
      <c r="M331" s="63"/>
      <c r="N331" s="63"/>
      <c r="O331" s="63"/>
      <c r="P331" s="63"/>
      <c r="Q331" s="63">
        <f t="shared" si="18"/>
        <v>319.5</v>
      </c>
      <c r="R331" s="63">
        <f t="shared" si="19"/>
        <v>0</v>
      </c>
      <c r="S331" s="63">
        <f t="shared" si="20"/>
        <v>319.5</v>
      </c>
    </row>
    <row r="332" spans="1:19" x14ac:dyDescent="0.2">
      <c r="A332" s="68">
        <v>125587</v>
      </c>
      <c r="B332" s="68" t="s">
        <v>6459</v>
      </c>
      <c r="C332" s="76">
        <v>220</v>
      </c>
      <c r="D332" s="72" t="s">
        <v>6511</v>
      </c>
      <c r="E332" s="68" t="s">
        <v>4064</v>
      </c>
      <c r="F332" s="74">
        <v>42536</v>
      </c>
      <c r="G332" s="83">
        <f>97</f>
        <v>97</v>
      </c>
      <c r="K332" s="133"/>
      <c r="L332" s="63"/>
      <c r="M332" s="63"/>
      <c r="N332" s="63"/>
      <c r="O332" s="63"/>
      <c r="P332" s="63"/>
      <c r="Q332" s="63">
        <f t="shared" si="18"/>
        <v>97</v>
      </c>
      <c r="R332" s="63">
        <f t="shared" si="19"/>
        <v>0</v>
      </c>
      <c r="S332" s="63">
        <f t="shared" si="20"/>
        <v>97</v>
      </c>
    </row>
    <row r="333" spans="1:19" x14ac:dyDescent="0.2">
      <c r="A333" s="68">
        <v>125587</v>
      </c>
      <c r="B333" s="68" t="s">
        <v>6459</v>
      </c>
      <c r="C333" s="76">
        <v>220</v>
      </c>
      <c r="D333" s="72" t="s">
        <v>6512</v>
      </c>
      <c r="E333" s="68" t="s">
        <v>4064</v>
      </c>
      <c r="F333" s="74">
        <v>42536</v>
      </c>
      <c r="G333" s="83">
        <f>59+2.5</f>
        <v>61.5</v>
      </c>
      <c r="K333" s="133"/>
      <c r="L333" s="63"/>
      <c r="M333" s="63"/>
      <c r="N333" s="63"/>
      <c r="O333" s="63"/>
      <c r="P333" s="63"/>
      <c r="Q333" s="63">
        <f t="shared" si="18"/>
        <v>61.5</v>
      </c>
      <c r="R333" s="63">
        <f t="shared" si="19"/>
        <v>0</v>
      </c>
      <c r="S333" s="63">
        <f t="shared" si="20"/>
        <v>61.5</v>
      </c>
    </row>
    <row r="334" spans="1:19" x14ac:dyDescent="0.2">
      <c r="A334" s="68">
        <v>95501</v>
      </c>
      <c r="B334" s="68" t="s">
        <v>6460</v>
      </c>
      <c r="C334" s="76">
        <v>221</v>
      </c>
      <c r="D334" s="72" t="s">
        <v>6513</v>
      </c>
      <c r="E334" s="68" t="s">
        <v>4064</v>
      </c>
      <c r="F334" s="74">
        <v>42536</v>
      </c>
      <c r="G334" s="83">
        <f>38.5+89</f>
        <v>127.5</v>
      </c>
      <c r="K334" s="133"/>
      <c r="L334" s="63"/>
      <c r="M334" s="63"/>
      <c r="N334" s="63"/>
      <c r="O334" s="63"/>
      <c r="P334" s="63"/>
      <c r="Q334" s="63">
        <f t="shared" si="18"/>
        <v>127.5</v>
      </c>
      <c r="R334" s="63">
        <f t="shared" si="19"/>
        <v>0</v>
      </c>
      <c r="S334" s="63">
        <f t="shared" si="20"/>
        <v>127.5</v>
      </c>
    </row>
    <row r="335" spans="1:19" x14ac:dyDescent="0.2">
      <c r="A335" s="68">
        <v>91200</v>
      </c>
      <c r="B335" s="68" t="s">
        <v>6461</v>
      </c>
      <c r="C335" s="76">
        <v>222</v>
      </c>
      <c r="D335" s="72" t="s">
        <v>6514</v>
      </c>
      <c r="E335" s="68" t="s">
        <v>4064</v>
      </c>
      <c r="F335" s="74">
        <v>41805</v>
      </c>
      <c r="G335" s="83">
        <f>60</f>
        <v>60</v>
      </c>
      <c r="K335" s="133"/>
      <c r="L335" s="63"/>
      <c r="M335" s="63"/>
      <c r="N335" s="63"/>
      <c r="O335" s="63"/>
      <c r="P335" s="63"/>
      <c r="Q335" s="63">
        <f t="shared" si="18"/>
        <v>60</v>
      </c>
      <c r="R335" s="63">
        <f t="shared" si="19"/>
        <v>0</v>
      </c>
      <c r="S335" s="63">
        <f t="shared" si="20"/>
        <v>60</v>
      </c>
    </row>
    <row r="336" spans="1:19" x14ac:dyDescent="0.2">
      <c r="A336" s="68">
        <v>91200</v>
      </c>
      <c r="B336" s="68" t="s">
        <v>6461</v>
      </c>
      <c r="C336" s="76">
        <v>222</v>
      </c>
      <c r="D336" s="72" t="s">
        <v>6515</v>
      </c>
      <c r="E336" s="68" t="s">
        <v>4064</v>
      </c>
      <c r="F336" s="74">
        <v>41805</v>
      </c>
      <c r="G336" s="83">
        <f>60</f>
        <v>60</v>
      </c>
      <c r="K336" s="133"/>
      <c r="L336" s="63"/>
      <c r="M336" s="63"/>
      <c r="N336" s="63"/>
      <c r="O336" s="63"/>
      <c r="P336" s="63"/>
      <c r="Q336" s="63">
        <f t="shared" si="18"/>
        <v>60</v>
      </c>
      <c r="R336" s="63">
        <f t="shared" si="19"/>
        <v>0</v>
      </c>
      <c r="S336" s="63">
        <f t="shared" si="20"/>
        <v>60</v>
      </c>
    </row>
    <row r="337" spans="1:19" x14ac:dyDescent="0.2">
      <c r="A337" s="68">
        <v>132365</v>
      </c>
      <c r="B337" s="68" t="s">
        <v>6462</v>
      </c>
      <c r="C337" s="76">
        <v>223</v>
      </c>
      <c r="D337" s="72" t="s">
        <v>6516</v>
      </c>
      <c r="E337" s="68" t="s">
        <v>19</v>
      </c>
      <c r="F337" s="74">
        <v>42537</v>
      </c>
      <c r="G337" s="83">
        <f>294.41</f>
        <v>294.41000000000003</v>
      </c>
      <c r="K337" s="133"/>
      <c r="L337" s="63"/>
      <c r="M337" s="63"/>
      <c r="N337" s="63"/>
      <c r="O337" s="63"/>
      <c r="P337" s="63"/>
      <c r="Q337" s="63">
        <f t="shared" si="18"/>
        <v>294.41000000000003</v>
      </c>
      <c r="R337" s="63">
        <f t="shared" si="19"/>
        <v>0</v>
      </c>
      <c r="S337" s="63">
        <f t="shared" si="20"/>
        <v>294.41000000000003</v>
      </c>
    </row>
    <row r="338" spans="1:19" x14ac:dyDescent="0.2">
      <c r="A338" s="68">
        <v>130267</v>
      </c>
      <c r="B338" s="68" t="s">
        <v>6242</v>
      </c>
      <c r="C338" s="76">
        <v>224</v>
      </c>
      <c r="D338" s="72" t="s">
        <v>6517</v>
      </c>
      <c r="E338" s="68" t="s">
        <v>19</v>
      </c>
      <c r="F338" s="74">
        <v>42538</v>
      </c>
      <c r="G338" s="83">
        <f>47.2+100.06+47.2+47.2+1339.45</f>
        <v>1581.1100000000001</v>
      </c>
      <c r="I338" s="63">
        <f>850</f>
        <v>850</v>
      </c>
      <c r="K338" s="133"/>
      <c r="L338" s="63"/>
      <c r="M338" s="63"/>
      <c r="N338" s="63"/>
      <c r="O338" s="63"/>
      <c r="P338" s="63"/>
      <c r="Q338" s="63">
        <f t="shared" si="18"/>
        <v>2431.11</v>
      </c>
      <c r="R338" s="63">
        <f t="shared" si="19"/>
        <v>0</v>
      </c>
      <c r="S338" s="63">
        <f t="shared" si="20"/>
        <v>2431.11</v>
      </c>
    </row>
    <row r="339" spans="1:19" x14ac:dyDescent="0.2">
      <c r="A339" s="68">
        <v>130267</v>
      </c>
      <c r="B339" s="68" t="s">
        <v>6242</v>
      </c>
      <c r="C339" s="76">
        <v>224</v>
      </c>
      <c r="D339" s="72" t="s">
        <v>6518</v>
      </c>
      <c r="E339" s="68" t="s">
        <v>19</v>
      </c>
      <c r="F339" s="74">
        <v>42538</v>
      </c>
      <c r="G339" s="83">
        <f>257.24</f>
        <v>257.24</v>
      </c>
      <c r="K339" s="133"/>
      <c r="L339" s="63"/>
      <c r="M339" s="63"/>
      <c r="N339" s="63"/>
      <c r="O339" s="63"/>
      <c r="P339" s="63"/>
      <c r="Q339" s="63">
        <f t="shared" si="18"/>
        <v>257.24</v>
      </c>
      <c r="R339" s="63">
        <f t="shared" si="19"/>
        <v>0</v>
      </c>
      <c r="S339" s="63">
        <f t="shared" si="20"/>
        <v>257.24</v>
      </c>
    </row>
    <row r="340" spans="1:19" x14ac:dyDescent="0.2">
      <c r="A340" s="68">
        <v>131513</v>
      </c>
      <c r="B340" s="68" t="s">
        <v>1054</v>
      </c>
      <c r="C340" s="76">
        <v>225</v>
      </c>
      <c r="D340" s="72" t="s">
        <v>6519</v>
      </c>
      <c r="E340" s="68" t="s">
        <v>19</v>
      </c>
      <c r="F340" s="74">
        <v>42538</v>
      </c>
      <c r="G340" s="83">
        <f>164+14.57+49.76+195+72.4+1278.4</f>
        <v>1774.13</v>
      </c>
      <c r="K340" s="133"/>
      <c r="L340" s="63"/>
      <c r="M340" s="63"/>
      <c r="N340" s="63"/>
      <c r="O340" s="63"/>
      <c r="P340" s="63"/>
      <c r="Q340" s="63">
        <f t="shared" si="18"/>
        <v>1774.13</v>
      </c>
      <c r="R340" s="63">
        <f t="shared" si="19"/>
        <v>0</v>
      </c>
      <c r="S340" s="63">
        <f t="shared" si="20"/>
        <v>1774.13</v>
      </c>
    </row>
    <row r="341" spans="1:19" x14ac:dyDescent="0.2">
      <c r="A341" s="68">
        <v>131513</v>
      </c>
      <c r="B341" s="68" t="s">
        <v>1054</v>
      </c>
      <c r="C341" s="76">
        <v>225</v>
      </c>
      <c r="D341" s="72" t="s">
        <v>6520</v>
      </c>
      <c r="E341" s="68" t="s">
        <v>19</v>
      </c>
      <c r="F341" s="74">
        <v>42538</v>
      </c>
      <c r="G341" s="83">
        <f>127.8</f>
        <v>127.8</v>
      </c>
      <c r="K341" s="133"/>
      <c r="L341" s="63"/>
      <c r="M341" s="63"/>
      <c r="N341" s="63"/>
      <c r="O341" s="63"/>
      <c r="P341" s="63"/>
      <c r="Q341" s="63">
        <f t="shared" si="18"/>
        <v>127.8</v>
      </c>
      <c r="R341" s="63">
        <f t="shared" si="19"/>
        <v>0</v>
      </c>
      <c r="S341" s="63">
        <f t="shared" si="20"/>
        <v>127.8</v>
      </c>
    </row>
    <row r="342" spans="1:19" x14ac:dyDescent="0.2">
      <c r="A342" s="68">
        <v>131513</v>
      </c>
      <c r="B342" s="68" t="s">
        <v>1054</v>
      </c>
      <c r="C342" s="76">
        <v>225</v>
      </c>
      <c r="D342" s="72" t="s">
        <v>6521</v>
      </c>
      <c r="E342" s="68" t="s">
        <v>19</v>
      </c>
      <c r="F342" s="74">
        <v>42538</v>
      </c>
      <c r="G342" s="83">
        <f>172.5+260+150+35+70+1373.9</f>
        <v>2061.4</v>
      </c>
      <c r="K342" s="133"/>
      <c r="L342" s="63"/>
      <c r="M342" s="63"/>
      <c r="N342" s="63"/>
      <c r="O342" s="63"/>
      <c r="P342" s="63"/>
      <c r="Q342" s="63">
        <f t="shared" si="18"/>
        <v>2061.4</v>
      </c>
      <c r="R342" s="63">
        <f t="shared" si="19"/>
        <v>0</v>
      </c>
      <c r="S342" s="63">
        <f t="shared" si="20"/>
        <v>2061.4</v>
      </c>
    </row>
    <row r="343" spans="1:19" x14ac:dyDescent="0.2">
      <c r="A343" s="68">
        <v>135422</v>
      </c>
      <c r="B343" s="68" t="s">
        <v>6463</v>
      </c>
      <c r="C343" s="76">
        <v>226</v>
      </c>
      <c r="D343" s="72" t="s">
        <v>6522</v>
      </c>
      <c r="E343" s="68" t="s">
        <v>19</v>
      </c>
      <c r="F343" s="74">
        <v>42538</v>
      </c>
      <c r="G343" s="83">
        <f>273.81</f>
        <v>273.81</v>
      </c>
      <c r="K343" s="133"/>
      <c r="L343" s="63"/>
      <c r="M343" s="63"/>
      <c r="N343" s="63"/>
      <c r="O343" s="63"/>
      <c r="P343" s="63"/>
      <c r="Q343" s="63">
        <f t="shared" si="18"/>
        <v>273.81</v>
      </c>
      <c r="R343" s="63">
        <f t="shared" si="19"/>
        <v>0</v>
      </c>
      <c r="S343" s="63">
        <f t="shared" si="20"/>
        <v>273.81</v>
      </c>
    </row>
    <row r="344" spans="1:19" x14ac:dyDescent="0.2">
      <c r="A344" s="68">
        <v>121168</v>
      </c>
      <c r="B344" s="68" t="s">
        <v>6464</v>
      </c>
      <c r="C344" s="76">
        <v>227</v>
      </c>
      <c r="D344" s="72" t="s">
        <v>6523</v>
      </c>
      <c r="E344" s="68" t="s">
        <v>19</v>
      </c>
      <c r="F344" s="74">
        <v>42539</v>
      </c>
      <c r="G344" s="83">
        <f>314.7</f>
        <v>314.7</v>
      </c>
      <c r="K344" s="133"/>
      <c r="L344" s="63"/>
      <c r="M344" s="63"/>
      <c r="N344" s="63"/>
      <c r="O344" s="63"/>
      <c r="P344" s="63"/>
      <c r="Q344" s="63">
        <f t="shared" si="18"/>
        <v>314.7</v>
      </c>
      <c r="R344" s="63">
        <f t="shared" si="19"/>
        <v>0</v>
      </c>
      <c r="S344" s="63">
        <f t="shared" si="20"/>
        <v>314.7</v>
      </c>
    </row>
    <row r="345" spans="1:19" x14ac:dyDescent="0.2">
      <c r="A345" s="68">
        <v>129335</v>
      </c>
      <c r="B345" s="68" t="s">
        <v>6465</v>
      </c>
      <c r="C345" s="76">
        <v>228</v>
      </c>
      <c r="D345" s="72" t="s">
        <v>6524</v>
      </c>
      <c r="E345" s="68" t="s">
        <v>19</v>
      </c>
      <c r="F345" s="74">
        <v>42539</v>
      </c>
      <c r="G345" s="83">
        <f>848+284+102+2618.6+107</f>
        <v>3959.6</v>
      </c>
      <c r="K345" s="133"/>
      <c r="L345" s="63"/>
      <c r="M345" s="63"/>
      <c r="N345" s="63"/>
      <c r="O345" s="63"/>
      <c r="P345" s="63"/>
      <c r="Q345" s="63">
        <f t="shared" si="18"/>
        <v>3959.6</v>
      </c>
      <c r="R345" s="63">
        <f t="shared" si="19"/>
        <v>0</v>
      </c>
      <c r="S345" s="63">
        <f t="shared" si="20"/>
        <v>3959.6</v>
      </c>
    </row>
    <row r="346" spans="1:19" x14ac:dyDescent="0.2">
      <c r="A346" s="68">
        <v>121509</v>
      </c>
      <c r="B346" s="68" t="s">
        <v>6466</v>
      </c>
      <c r="C346" s="76">
        <v>229</v>
      </c>
      <c r="D346" s="72" t="s">
        <v>6525</v>
      </c>
      <c r="E346" s="68" t="s">
        <v>19</v>
      </c>
      <c r="F346" s="74">
        <v>42539</v>
      </c>
      <c r="G346" s="83">
        <f>40</f>
        <v>40</v>
      </c>
      <c r="K346" s="133"/>
      <c r="L346" s="63"/>
      <c r="M346" s="63"/>
      <c r="N346" s="63"/>
      <c r="O346" s="63"/>
      <c r="P346" s="63"/>
      <c r="Q346" s="63">
        <f t="shared" si="18"/>
        <v>40</v>
      </c>
      <c r="R346" s="63">
        <f t="shared" si="19"/>
        <v>0</v>
      </c>
      <c r="S346" s="63">
        <f t="shared" si="20"/>
        <v>40</v>
      </c>
    </row>
    <row r="347" spans="1:19" x14ac:dyDescent="0.2">
      <c r="A347" s="68">
        <v>121509</v>
      </c>
      <c r="B347" s="68" t="s">
        <v>6466</v>
      </c>
      <c r="C347" s="76">
        <v>229</v>
      </c>
      <c r="D347" s="72" t="s">
        <v>6526</v>
      </c>
      <c r="E347" s="68" t="s">
        <v>19</v>
      </c>
      <c r="F347" s="74">
        <v>42539</v>
      </c>
      <c r="G347" s="83">
        <f>105</f>
        <v>105</v>
      </c>
      <c r="K347" s="133"/>
      <c r="L347" s="63"/>
      <c r="M347" s="63"/>
      <c r="N347" s="63"/>
      <c r="O347" s="63"/>
      <c r="P347" s="63"/>
      <c r="Q347" s="63">
        <f t="shared" si="18"/>
        <v>105</v>
      </c>
      <c r="R347" s="63">
        <f t="shared" si="19"/>
        <v>0</v>
      </c>
      <c r="S347" s="63">
        <f t="shared" si="20"/>
        <v>105</v>
      </c>
    </row>
    <row r="348" spans="1:19" x14ac:dyDescent="0.2">
      <c r="A348" s="68">
        <v>117698</v>
      </c>
      <c r="B348" s="68" t="s">
        <v>6467</v>
      </c>
      <c r="C348" s="76">
        <v>230</v>
      </c>
      <c r="D348" s="72" t="s">
        <v>6527</v>
      </c>
      <c r="E348" s="68" t="s">
        <v>19</v>
      </c>
      <c r="F348" s="74">
        <v>42539</v>
      </c>
      <c r="G348" s="83">
        <f>110.81</f>
        <v>110.81</v>
      </c>
      <c r="K348" s="133"/>
      <c r="L348" s="63"/>
      <c r="M348" s="63"/>
      <c r="N348" s="63"/>
      <c r="O348" s="63"/>
      <c r="P348" s="63"/>
      <c r="Q348" s="63">
        <f t="shared" si="18"/>
        <v>110.81</v>
      </c>
      <c r="R348" s="63">
        <f t="shared" si="19"/>
        <v>0</v>
      </c>
      <c r="S348" s="63">
        <f t="shared" si="20"/>
        <v>110.81</v>
      </c>
    </row>
    <row r="349" spans="1:19" x14ac:dyDescent="0.2">
      <c r="A349" s="68">
        <v>117698</v>
      </c>
      <c r="B349" s="68" t="s">
        <v>6467</v>
      </c>
      <c r="C349" s="76">
        <v>230</v>
      </c>
      <c r="D349" s="72" t="s">
        <v>6528</v>
      </c>
      <c r="E349" s="68" t="s">
        <v>19</v>
      </c>
      <c r="F349" s="74">
        <v>42539</v>
      </c>
      <c r="G349" s="83">
        <f>41.3+103.03+41.3+1792.38+157.72+41.3+1509.28+41.3+198.98</f>
        <v>3926.5900000000006</v>
      </c>
      <c r="I349" s="63">
        <v>2550</v>
      </c>
      <c r="K349" s="133"/>
      <c r="L349" s="63"/>
      <c r="M349" s="63"/>
      <c r="N349" s="63"/>
      <c r="O349" s="63"/>
      <c r="P349" s="63"/>
      <c r="Q349" s="63">
        <f t="shared" si="18"/>
        <v>6476.59</v>
      </c>
      <c r="R349" s="63">
        <f t="shared" si="19"/>
        <v>0</v>
      </c>
      <c r="S349" s="63">
        <f t="shared" si="20"/>
        <v>6476.59</v>
      </c>
    </row>
    <row r="350" spans="1:19" x14ac:dyDescent="0.2">
      <c r="A350" s="68">
        <v>134478</v>
      </c>
      <c r="B350" s="68" t="s">
        <v>6468</v>
      </c>
      <c r="C350" s="76">
        <v>231</v>
      </c>
      <c r="D350" s="72" t="s">
        <v>6529</v>
      </c>
      <c r="E350" s="68" t="s">
        <v>19</v>
      </c>
      <c r="F350" s="74">
        <v>42540</v>
      </c>
      <c r="G350" s="83">
        <f>185</f>
        <v>185</v>
      </c>
      <c r="K350" s="133"/>
      <c r="L350" s="63"/>
      <c r="M350" s="63"/>
      <c r="N350" s="63"/>
      <c r="O350" s="63"/>
      <c r="P350" s="63"/>
      <c r="Q350" s="63">
        <f t="shared" si="18"/>
        <v>185</v>
      </c>
      <c r="R350" s="63">
        <f t="shared" si="19"/>
        <v>0</v>
      </c>
      <c r="S350" s="63">
        <f t="shared" si="20"/>
        <v>185</v>
      </c>
    </row>
    <row r="351" spans="1:19" x14ac:dyDescent="0.2">
      <c r="A351" s="68">
        <v>122236</v>
      </c>
      <c r="B351" s="68" t="s">
        <v>6469</v>
      </c>
      <c r="C351" s="76">
        <v>232</v>
      </c>
      <c r="D351" s="72" t="s">
        <v>6530</v>
      </c>
      <c r="E351" s="68" t="s">
        <v>19</v>
      </c>
      <c r="F351" s="74">
        <v>42542</v>
      </c>
      <c r="G351" s="83">
        <f>655.18</f>
        <v>655.17999999999995</v>
      </c>
      <c r="K351" s="133"/>
      <c r="L351" s="63"/>
      <c r="M351" s="63"/>
      <c r="N351" s="63"/>
      <c r="O351" s="63"/>
      <c r="P351" s="63"/>
      <c r="Q351" s="63">
        <f t="shared" ref="Q351:Q414" si="21">+G351+I351+K351+M351+O351</f>
        <v>655.17999999999995</v>
      </c>
      <c r="R351" s="63">
        <f t="shared" ref="R351:R414" si="22">+H351+J351+L351+N351+P351</f>
        <v>0</v>
      </c>
      <c r="S351" s="63">
        <f t="shared" ref="S351:S414" si="23">+Q351+R351</f>
        <v>655.17999999999995</v>
      </c>
    </row>
    <row r="352" spans="1:19" x14ac:dyDescent="0.2">
      <c r="A352" s="71">
        <v>137613</v>
      </c>
      <c r="B352" s="71" t="s">
        <v>6470</v>
      </c>
      <c r="C352" s="76">
        <v>233</v>
      </c>
      <c r="D352" s="73" t="s">
        <v>6531</v>
      </c>
      <c r="E352" s="71" t="s">
        <v>19</v>
      </c>
      <c r="F352" s="75">
        <v>42543</v>
      </c>
      <c r="G352" s="83">
        <f>91.28+100.72+844.43</f>
        <v>1036.4299999999998</v>
      </c>
      <c r="I352" s="63">
        <f>850</f>
        <v>850</v>
      </c>
      <c r="K352" s="133"/>
      <c r="L352" s="63"/>
      <c r="M352" s="63"/>
      <c r="N352" s="63"/>
      <c r="O352" s="63"/>
      <c r="P352" s="63"/>
      <c r="Q352" s="63">
        <f t="shared" si="21"/>
        <v>1886.4299999999998</v>
      </c>
      <c r="R352" s="63">
        <f t="shared" si="22"/>
        <v>0</v>
      </c>
      <c r="S352" s="63">
        <f t="shared" si="23"/>
        <v>1886.4299999999998</v>
      </c>
    </row>
    <row r="353" spans="1:19" x14ac:dyDescent="0.2">
      <c r="A353" s="71">
        <v>137843</v>
      </c>
      <c r="B353" s="71" t="s">
        <v>6471</v>
      </c>
      <c r="C353" s="76">
        <v>234</v>
      </c>
      <c r="D353" s="73" t="s">
        <v>6532</v>
      </c>
      <c r="E353" s="71" t="s">
        <v>19</v>
      </c>
      <c r="F353" s="75">
        <v>42543</v>
      </c>
      <c r="G353" s="83">
        <f>118.47</f>
        <v>118.47</v>
      </c>
      <c r="K353" s="133"/>
      <c r="L353" s="63"/>
      <c r="M353" s="63"/>
      <c r="N353" s="63"/>
      <c r="O353" s="63"/>
      <c r="P353" s="63"/>
      <c r="Q353" s="63">
        <f t="shared" si="21"/>
        <v>118.47</v>
      </c>
      <c r="R353" s="63">
        <f t="shared" si="22"/>
        <v>0</v>
      </c>
      <c r="S353" s="63">
        <f t="shared" si="23"/>
        <v>118.47</v>
      </c>
    </row>
    <row r="354" spans="1:19" x14ac:dyDescent="0.2">
      <c r="A354" s="68">
        <v>134813</v>
      </c>
      <c r="B354" s="68" t="s">
        <v>6472</v>
      </c>
      <c r="C354" s="76">
        <v>235</v>
      </c>
      <c r="D354" s="72" t="s">
        <v>6533</v>
      </c>
      <c r="E354" s="68" t="s">
        <v>19</v>
      </c>
      <c r="F354" s="74">
        <v>42545</v>
      </c>
      <c r="G354" s="83">
        <f>83</f>
        <v>83</v>
      </c>
      <c r="K354" s="133"/>
      <c r="L354" s="63"/>
      <c r="M354" s="63"/>
      <c r="N354" s="63"/>
      <c r="O354" s="63"/>
      <c r="P354" s="63"/>
      <c r="Q354" s="63">
        <f t="shared" si="21"/>
        <v>83</v>
      </c>
      <c r="R354" s="63">
        <f t="shared" si="22"/>
        <v>0</v>
      </c>
      <c r="S354" s="63">
        <f t="shared" si="23"/>
        <v>83</v>
      </c>
    </row>
    <row r="355" spans="1:19" x14ac:dyDescent="0.2">
      <c r="A355" s="68">
        <v>134813</v>
      </c>
      <c r="B355" s="68" t="s">
        <v>6472</v>
      </c>
      <c r="C355" s="76">
        <v>235</v>
      </c>
      <c r="D355" s="72" t="s">
        <v>6534</v>
      </c>
      <c r="E355" s="68" t="s">
        <v>19</v>
      </c>
      <c r="F355" s="74">
        <v>42545</v>
      </c>
      <c r="G355" s="83">
        <f>48</f>
        <v>48</v>
      </c>
      <c r="K355" s="133"/>
      <c r="L355" s="63"/>
      <c r="M355" s="63"/>
      <c r="N355" s="63"/>
      <c r="O355" s="63"/>
      <c r="P355" s="63"/>
      <c r="Q355" s="63">
        <f t="shared" si="21"/>
        <v>48</v>
      </c>
      <c r="R355" s="63">
        <f t="shared" si="22"/>
        <v>0</v>
      </c>
      <c r="S355" s="63">
        <f t="shared" si="23"/>
        <v>48</v>
      </c>
    </row>
    <row r="356" spans="1:19" x14ac:dyDescent="0.2">
      <c r="A356" s="68">
        <v>135326</v>
      </c>
      <c r="B356" s="68" t="s">
        <v>6473</v>
      </c>
      <c r="C356" s="76">
        <v>236</v>
      </c>
      <c r="D356" s="72" t="s">
        <v>6535</v>
      </c>
      <c r="E356" s="68" t="s">
        <v>19</v>
      </c>
      <c r="F356" s="74">
        <v>42545</v>
      </c>
      <c r="G356" s="83">
        <f>86.14</f>
        <v>86.14</v>
      </c>
      <c r="K356" s="133"/>
      <c r="L356" s="63"/>
      <c r="M356" s="63"/>
      <c r="N356" s="63"/>
      <c r="O356" s="63"/>
      <c r="P356" s="63"/>
      <c r="Q356" s="63">
        <f t="shared" si="21"/>
        <v>86.14</v>
      </c>
      <c r="R356" s="63">
        <f t="shared" si="22"/>
        <v>0</v>
      </c>
      <c r="S356" s="63">
        <f t="shared" si="23"/>
        <v>86.14</v>
      </c>
    </row>
    <row r="357" spans="1:19" x14ac:dyDescent="0.2">
      <c r="A357" s="68">
        <v>135326</v>
      </c>
      <c r="B357" s="68" t="s">
        <v>6473</v>
      </c>
      <c r="C357" s="76">
        <v>236</v>
      </c>
      <c r="D357" s="72" t="s">
        <v>6536</v>
      </c>
      <c r="E357" s="68" t="s">
        <v>19</v>
      </c>
      <c r="F357" s="74">
        <v>42545</v>
      </c>
      <c r="G357" s="83">
        <v>146.32</v>
      </c>
      <c r="K357" s="133"/>
      <c r="L357" s="63"/>
      <c r="M357" s="63"/>
      <c r="N357" s="63"/>
      <c r="O357" s="63"/>
      <c r="P357" s="63"/>
      <c r="Q357" s="63">
        <f t="shared" si="21"/>
        <v>146.32</v>
      </c>
      <c r="R357" s="63">
        <f t="shared" si="22"/>
        <v>0</v>
      </c>
      <c r="S357" s="63">
        <f t="shared" si="23"/>
        <v>146.32</v>
      </c>
    </row>
    <row r="358" spans="1:19" x14ac:dyDescent="0.2">
      <c r="A358" s="68">
        <v>132824</v>
      </c>
      <c r="B358" s="68" t="s">
        <v>6474</v>
      </c>
      <c r="C358" s="76">
        <v>237</v>
      </c>
      <c r="D358" s="72" t="s">
        <v>6537</v>
      </c>
      <c r="E358" s="68" t="s">
        <v>19</v>
      </c>
      <c r="F358" s="74">
        <v>42547</v>
      </c>
      <c r="G358" s="83">
        <f>48</f>
        <v>48</v>
      </c>
      <c r="K358" s="133"/>
      <c r="L358" s="63"/>
      <c r="M358" s="63"/>
      <c r="N358" s="63"/>
      <c r="O358" s="63"/>
      <c r="P358" s="63"/>
      <c r="Q358" s="63">
        <f t="shared" si="21"/>
        <v>48</v>
      </c>
      <c r="R358" s="63">
        <f t="shared" si="22"/>
        <v>0</v>
      </c>
      <c r="S358" s="63">
        <f t="shared" si="23"/>
        <v>48</v>
      </c>
    </row>
    <row r="359" spans="1:19" x14ac:dyDescent="0.2">
      <c r="A359" s="68">
        <v>130619</v>
      </c>
      <c r="B359" s="68" t="s">
        <v>3125</v>
      </c>
      <c r="C359" s="76">
        <v>238</v>
      </c>
      <c r="D359" s="72" t="s">
        <v>6538</v>
      </c>
      <c r="E359" s="68" t="s">
        <v>19</v>
      </c>
      <c r="F359" s="74">
        <v>42549</v>
      </c>
      <c r="G359" s="83">
        <f>558+1617.29+2887.04</f>
        <v>5062.33</v>
      </c>
      <c r="K359" s="133"/>
      <c r="L359" s="63"/>
      <c r="M359" s="63"/>
      <c r="N359" s="63"/>
      <c r="O359" s="63"/>
      <c r="P359" s="63"/>
      <c r="Q359" s="63">
        <f t="shared" si="21"/>
        <v>5062.33</v>
      </c>
      <c r="R359" s="63">
        <f t="shared" si="22"/>
        <v>0</v>
      </c>
      <c r="S359" s="63">
        <f t="shared" si="23"/>
        <v>5062.33</v>
      </c>
    </row>
    <row r="360" spans="1:19" x14ac:dyDescent="0.2">
      <c r="A360" s="68">
        <v>127266</v>
      </c>
      <c r="B360" s="68" t="s">
        <v>6475</v>
      </c>
      <c r="C360" s="76">
        <v>239</v>
      </c>
      <c r="D360" s="72" t="s">
        <v>6539</v>
      </c>
      <c r="E360" s="68" t="s">
        <v>19</v>
      </c>
      <c r="F360" s="74">
        <v>42549</v>
      </c>
      <c r="G360" s="83">
        <f>48</f>
        <v>48</v>
      </c>
      <c r="K360" s="133"/>
      <c r="L360" s="63"/>
      <c r="M360" s="63"/>
      <c r="N360" s="63"/>
      <c r="O360" s="63"/>
      <c r="P360" s="63"/>
      <c r="Q360" s="63">
        <f t="shared" si="21"/>
        <v>48</v>
      </c>
      <c r="R360" s="63">
        <f t="shared" si="22"/>
        <v>0</v>
      </c>
      <c r="S360" s="63">
        <f t="shared" si="23"/>
        <v>48</v>
      </c>
    </row>
    <row r="361" spans="1:19" x14ac:dyDescent="0.2">
      <c r="A361" s="68">
        <v>132420</v>
      </c>
      <c r="B361" s="68" t="s">
        <v>6476</v>
      </c>
      <c r="C361" s="76">
        <v>240</v>
      </c>
      <c r="D361" s="72" t="s">
        <v>6540</v>
      </c>
      <c r="E361" s="68" t="s">
        <v>19</v>
      </c>
      <c r="F361" s="74">
        <v>42549</v>
      </c>
      <c r="G361" s="83">
        <v>165.5</v>
      </c>
      <c r="K361" s="133"/>
      <c r="L361" s="63"/>
      <c r="M361" s="63"/>
      <c r="N361" s="63"/>
      <c r="O361" s="63"/>
      <c r="P361" s="63"/>
      <c r="Q361" s="63">
        <f t="shared" si="21"/>
        <v>165.5</v>
      </c>
      <c r="R361" s="63">
        <f t="shared" si="22"/>
        <v>0</v>
      </c>
      <c r="S361" s="63">
        <f t="shared" si="23"/>
        <v>165.5</v>
      </c>
    </row>
    <row r="362" spans="1:19" x14ac:dyDescent="0.2">
      <c r="A362" s="68">
        <v>131477</v>
      </c>
      <c r="B362" s="68" t="s">
        <v>6477</v>
      </c>
      <c r="C362" s="76">
        <v>241</v>
      </c>
      <c r="D362" s="72" t="s">
        <v>6541</v>
      </c>
      <c r="E362" s="68" t="s">
        <v>19</v>
      </c>
      <c r="F362" s="74">
        <v>42551</v>
      </c>
      <c r="G362" s="83">
        <f>240+456.25</f>
        <v>696.25</v>
      </c>
      <c r="K362" s="133"/>
      <c r="L362" s="63"/>
      <c r="M362" s="63"/>
      <c r="N362" s="63"/>
      <c r="O362" s="63"/>
      <c r="P362" s="63"/>
      <c r="Q362" s="63">
        <f t="shared" si="21"/>
        <v>696.25</v>
      </c>
      <c r="R362" s="63">
        <f t="shared" si="22"/>
        <v>0</v>
      </c>
      <c r="S362" s="63">
        <f t="shared" si="23"/>
        <v>696.25</v>
      </c>
    </row>
    <row r="363" spans="1:19" x14ac:dyDescent="0.2">
      <c r="A363" s="68">
        <v>137202</v>
      </c>
      <c r="B363" s="68" t="s">
        <v>6478</v>
      </c>
      <c r="C363" s="76">
        <v>242</v>
      </c>
      <c r="D363" s="72" t="s">
        <v>6542</v>
      </c>
      <c r="E363" s="68" t="s">
        <v>19</v>
      </c>
      <c r="F363" s="74">
        <v>42552</v>
      </c>
      <c r="G363" s="83">
        <f>73.99</f>
        <v>73.989999999999995</v>
      </c>
      <c r="K363" s="133"/>
      <c r="L363" s="63"/>
      <c r="M363" s="63"/>
      <c r="N363" s="63"/>
      <c r="O363" s="63"/>
      <c r="P363" s="63"/>
      <c r="Q363" s="63">
        <f t="shared" si="21"/>
        <v>73.989999999999995</v>
      </c>
      <c r="R363" s="63">
        <f t="shared" si="22"/>
        <v>0</v>
      </c>
      <c r="S363" s="63">
        <f t="shared" si="23"/>
        <v>73.989999999999995</v>
      </c>
    </row>
    <row r="364" spans="1:19" x14ac:dyDescent="0.2">
      <c r="A364" s="68">
        <v>132207</v>
      </c>
      <c r="B364" s="68" t="s">
        <v>6479</v>
      </c>
      <c r="C364" s="76">
        <v>243</v>
      </c>
      <c r="D364" s="72" t="s">
        <v>6543</v>
      </c>
      <c r="E364" s="68" t="s">
        <v>19</v>
      </c>
      <c r="F364" s="74">
        <v>42553</v>
      </c>
      <c r="G364" s="83">
        <f>49.2</f>
        <v>49.2</v>
      </c>
      <c r="K364" s="133"/>
      <c r="L364" s="63"/>
      <c r="M364" s="63"/>
      <c r="N364" s="63"/>
      <c r="O364" s="63"/>
      <c r="P364" s="63"/>
      <c r="Q364" s="63">
        <f t="shared" si="21"/>
        <v>49.2</v>
      </c>
      <c r="R364" s="63">
        <f t="shared" si="22"/>
        <v>0</v>
      </c>
      <c r="S364" s="63">
        <f t="shared" si="23"/>
        <v>49.2</v>
      </c>
    </row>
    <row r="365" spans="1:19" x14ac:dyDescent="0.2">
      <c r="A365" s="68">
        <v>132207</v>
      </c>
      <c r="B365" s="68" t="s">
        <v>6479</v>
      </c>
      <c r="C365" s="76">
        <v>243</v>
      </c>
      <c r="D365" s="72" t="s">
        <v>6544</v>
      </c>
      <c r="E365" s="68" t="s">
        <v>19</v>
      </c>
      <c r="F365" s="74">
        <v>42553</v>
      </c>
      <c r="G365" s="83">
        <f>49.2</f>
        <v>49.2</v>
      </c>
      <c r="K365" s="133"/>
      <c r="L365" s="63"/>
      <c r="M365" s="63"/>
      <c r="N365" s="63"/>
      <c r="O365" s="63"/>
      <c r="P365" s="63"/>
      <c r="Q365" s="63">
        <f t="shared" si="21"/>
        <v>49.2</v>
      </c>
      <c r="R365" s="63">
        <f t="shared" si="22"/>
        <v>0</v>
      </c>
      <c r="S365" s="63">
        <f t="shared" si="23"/>
        <v>49.2</v>
      </c>
    </row>
    <row r="366" spans="1:19" x14ac:dyDescent="0.2">
      <c r="A366" s="68">
        <v>125774</v>
      </c>
      <c r="B366" s="68" t="s">
        <v>1858</v>
      </c>
      <c r="C366" s="76">
        <v>244</v>
      </c>
      <c r="D366" s="72" t="s">
        <v>6545</v>
      </c>
      <c r="E366" s="68" t="s">
        <v>19</v>
      </c>
      <c r="F366" s="74">
        <v>42553</v>
      </c>
      <c r="G366" s="83">
        <f>85</f>
        <v>85</v>
      </c>
      <c r="K366" s="133"/>
      <c r="L366" s="63"/>
      <c r="M366" s="63"/>
      <c r="N366" s="63"/>
      <c r="O366" s="63"/>
      <c r="P366" s="63"/>
      <c r="Q366" s="63">
        <f t="shared" si="21"/>
        <v>85</v>
      </c>
      <c r="R366" s="63">
        <f t="shared" si="22"/>
        <v>0</v>
      </c>
      <c r="S366" s="63">
        <f t="shared" si="23"/>
        <v>85</v>
      </c>
    </row>
    <row r="367" spans="1:19" x14ac:dyDescent="0.2">
      <c r="A367" s="68">
        <v>130015</v>
      </c>
      <c r="B367" s="68" t="s">
        <v>6480</v>
      </c>
      <c r="C367" s="76">
        <v>245</v>
      </c>
      <c r="D367" s="72" t="s">
        <v>6546</v>
      </c>
      <c r="E367" s="68" t="s">
        <v>19</v>
      </c>
      <c r="F367" s="74">
        <v>42553</v>
      </c>
      <c r="G367" s="83">
        <f>160.12</f>
        <v>160.12</v>
      </c>
      <c r="K367" s="133"/>
      <c r="L367" s="63"/>
      <c r="M367" s="63"/>
      <c r="N367" s="63"/>
      <c r="O367" s="63"/>
      <c r="P367" s="63"/>
      <c r="Q367" s="63">
        <f t="shared" si="21"/>
        <v>160.12</v>
      </c>
      <c r="R367" s="63">
        <f t="shared" si="22"/>
        <v>0</v>
      </c>
      <c r="S367" s="63">
        <f t="shared" si="23"/>
        <v>160.12</v>
      </c>
    </row>
    <row r="368" spans="1:19" x14ac:dyDescent="0.2">
      <c r="A368" s="68">
        <v>125010</v>
      </c>
      <c r="B368" s="68" t="s">
        <v>6481</v>
      </c>
      <c r="C368" s="76">
        <v>246</v>
      </c>
      <c r="D368" s="72" t="s">
        <v>6547</v>
      </c>
      <c r="E368" s="68" t="s">
        <v>19</v>
      </c>
      <c r="F368" s="74">
        <v>42554</v>
      </c>
      <c r="G368" s="83">
        <f>201.58+466.15+125.47+80.33+41.3+356.5+40.3+71.65+156.888+121.96+71.65</f>
        <v>1733.778</v>
      </c>
      <c r="I368" s="63">
        <f>850+3100</f>
        <v>3950</v>
      </c>
      <c r="K368" s="133"/>
      <c r="L368" s="63"/>
      <c r="M368" s="63"/>
      <c r="N368" s="63"/>
      <c r="O368" s="63"/>
      <c r="P368" s="63"/>
      <c r="Q368" s="63">
        <f t="shared" si="21"/>
        <v>5683.7780000000002</v>
      </c>
      <c r="R368" s="63">
        <f t="shared" si="22"/>
        <v>0</v>
      </c>
      <c r="S368" s="63">
        <f t="shared" si="23"/>
        <v>5683.7780000000002</v>
      </c>
    </row>
    <row r="369" spans="1:19" x14ac:dyDescent="0.2">
      <c r="A369" s="68">
        <v>131503</v>
      </c>
      <c r="B369" s="68" t="s">
        <v>6549</v>
      </c>
      <c r="C369" s="76">
        <v>247</v>
      </c>
      <c r="D369" s="72" t="s">
        <v>6574</v>
      </c>
      <c r="E369" s="68" t="s">
        <v>19</v>
      </c>
      <c r="F369" s="74">
        <v>42556</v>
      </c>
      <c r="G369" s="83">
        <f>469.2+542.3+365+70</f>
        <v>1446.5</v>
      </c>
      <c r="K369" s="133"/>
      <c r="L369" s="63"/>
      <c r="M369" s="63"/>
      <c r="N369" s="63"/>
      <c r="O369" s="63"/>
      <c r="P369" s="63"/>
      <c r="Q369" s="63">
        <f t="shared" si="21"/>
        <v>1446.5</v>
      </c>
      <c r="R369" s="63">
        <f t="shared" si="22"/>
        <v>0</v>
      </c>
      <c r="S369" s="63">
        <f t="shared" si="23"/>
        <v>1446.5</v>
      </c>
    </row>
    <row r="370" spans="1:19" x14ac:dyDescent="0.2">
      <c r="A370" s="68">
        <v>136805</v>
      </c>
      <c r="B370" s="68" t="s">
        <v>6550</v>
      </c>
      <c r="C370" s="76">
        <v>248</v>
      </c>
      <c r="D370" s="72" t="s">
        <v>6575</v>
      </c>
      <c r="E370" s="68" t="s">
        <v>19</v>
      </c>
      <c r="F370" s="74">
        <v>42557</v>
      </c>
      <c r="G370" s="83">
        <f>102.49+3754.09+63.17+85.56+109.85+53.31+670.79+99.7+47.56+261.3+481.3</f>
        <v>5729.1200000000008</v>
      </c>
      <c r="I370" s="63">
        <v>2550</v>
      </c>
      <c r="K370" s="133"/>
      <c r="L370" s="63"/>
      <c r="M370" s="63"/>
      <c r="N370" s="63"/>
      <c r="O370" s="63"/>
      <c r="P370" s="63"/>
      <c r="Q370" s="63">
        <f t="shared" si="21"/>
        <v>8279.1200000000008</v>
      </c>
      <c r="R370" s="63">
        <f t="shared" si="22"/>
        <v>0</v>
      </c>
      <c r="S370" s="63">
        <f t="shared" si="23"/>
        <v>8279.1200000000008</v>
      </c>
    </row>
    <row r="371" spans="1:19" x14ac:dyDescent="0.2">
      <c r="A371" s="68">
        <v>125902</v>
      </c>
      <c r="B371" s="68" t="s">
        <v>5769</v>
      </c>
      <c r="C371" s="76">
        <v>249</v>
      </c>
      <c r="D371" s="72" t="s">
        <v>6576</v>
      </c>
      <c r="E371" s="68" t="s">
        <v>19</v>
      </c>
      <c r="F371" s="74">
        <v>42558</v>
      </c>
      <c r="G371" s="83">
        <f>238+41.3+286</f>
        <v>565.29999999999995</v>
      </c>
      <c r="K371" s="133"/>
      <c r="L371" s="63"/>
      <c r="M371" s="63"/>
      <c r="N371" s="63"/>
      <c r="O371" s="63"/>
      <c r="P371" s="63"/>
      <c r="Q371" s="63">
        <f t="shared" si="21"/>
        <v>565.29999999999995</v>
      </c>
      <c r="R371" s="63">
        <f t="shared" si="22"/>
        <v>0</v>
      </c>
      <c r="S371" s="63">
        <f t="shared" si="23"/>
        <v>565.29999999999995</v>
      </c>
    </row>
    <row r="372" spans="1:19" x14ac:dyDescent="0.2">
      <c r="A372" s="68">
        <v>135072</v>
      </c>
      <c r="B372" s="68" t="s">
        <v>6551</v>
      </c>
      <c r="C372" s="76">
        <v>250</v>
      </c>
      <c r="D372" s="72" t="s">
        <v>6577</v>
      </c>
      <c r="E372" s="68" t="s">
        <v>19</v>
      </c>
      <c r="F372" s="74">
        <v>42558</v>
      </c>
      <c r="G372" s="83">
        <f>121.1+80.53+241.9</f>
        <v>443.53</v>
      </c>
      <c r="I372" s="63">
        <f>538.33</f>
        <v>538.33000000000004</v>
      </c>
      <c r="K372" s="133"/>
      <c r="L372" s="63"/>
      <c r="M372" s="63"/>
      <c r="N372" s="63"/>
      <c r="O372" s="63"/>
      <c r="P372" s="63"/>
      <c r="Q372" s="63">
        <f t="shared" si="21"/>
        <v>981.86</v>
      </c>
      <c r="R372" s="63">
        <f t="shared" si="22"/>
        <v>0</v>
      </c>
      <c r="S372" s="63">
        <f t="shared" si="23"/>
        <v>981.86</v>
      </c>
    </row>
    <row r="373" spans="1:19" x14ac:dyDescent="0.2">
      <c r="A373" s="68">
        <v>134615</v>
      </c>
      <c r="B373" s="68" t="s">
        <v>6552</v>
      </c>
      <c r="C373" s="76">
        <v>251</v>
      </c>
      <c r="D373" s="72" t="s">
        <v>6578</v>
      </c>
      <c r="E373" s="68" t="s">
        <v>19</v>
      </c>
      <c r="F373" s="74">
        <v>42559</v>
      </c>
      <c r="G373" s="83">
        <f>181.3</f>
        <v>181.3</v>
      </c>
      <c r="K373" s="133"/>
      <c r="L373" s="63"/>
      <c r="M373" s="63"/>
      <c r="N373" s="63"/>
      <c r="O373" s="63"/>
      <c r="P373" s="63"/>
      <c r="Q373" s="63">
        <f t="shared" si="21"/>
        <v>181.3</v>
      </c>
      <c r="R373" s="63">
        <f t="shared" si="22"/>
        <v>0</v>
      </c>
      <c r="S373" s="63">
        <f t="shared" si="23"/>
        <v>181.3</v>
      </c>
    </row>
    <row r="374" spans="1:19" x14ac:dyDescent="0.2">
      <c r="B374" s="68"/>
      <c r="C374" s="76">
        <v>252</v>
      </c>
      <c r="D374" s="72"/>
      <c r="E374" s="68"/>
      <c r="F374" s="74"/>
      <c r="G374" s="83"/>
      <c r="K374" s="133"/>
      <c r="L374" s="63"/>
      <c r="M374" s="63"/>
      <c r="N374" s="63"/>
      <c r="O374" s="63"/>
      <c r="P374" s="63"/>
      <c r="Q374" s="63">
        <f t="shared" si="21"/>
        <v>0</v>
      </c>
      <c r="R374" s="63">
        <f t="shared" si="22"/>
        <v>0</v>
      </c>
      <c r="S374" s="63">
        <f t="shared" si="23"/>
        <v>0</v>
      </c>
    </row>
    <row r="375" spans="1:19" x14ac:dyDescent="0.2">
      <c r="A375" s="68">
        <v>135990</v>
      </c>
      <c r="B375" s="68" t="s">
        <v>6553</v>
      </c>
      <c r="C375" s="76">
        <v>253</v>
      </c>
      <c r="D375" s="72" t="s">
        <v>6579</v>
      </c>
      <c r="E375" s="68" t="s">
        <v>19</v>
      </c>
      <c r="F375" s="74">
        <v>42561</v>
      </c>
      <c r="G375" s="83">
        <f>41.3+80+82.69+290+344.77</f>
        <v>838.76</v>
      </c>
      <c r="K375" s="133"/>
      <c r="L375" s="63"/>
      <c r="M375" s="63"/>
      <c r="N375" s="63"/>
      <c r="O375" s="63"/>
      <c r="P375" s="63"/>
      <c r="Q375" s="63">
        <f t="shared" si="21"/>
        <v>838.76</v>
      </c>
      <c r="R375" s="63">
        <f t="shared" si="22"/>
        <v>0</v>
      </c>
      <c r="S375" s="63">
        <f t="shared" si="23"/>
        <v>838.76</v>
      </c>
    </row>
    <row r="376" spans="1:19" x14ac:dyDescent="0.2">
      <c r="A376" s="68">
        <v>128968</v>
      </c>
      <c r="B376" s="68" t="s">
        <v>6554</v>
      </c>
      <c r="C376" s="76">
        <v>254</v>
      </c>
      <c r="D376" s="72" t="s">
        <v>6580</v>
      </c>
      <c r="E376" s="68" t="s">
        <v>4179</v>
      </c>
      <c r="F376" s="74">
        <v>42563</v>
      </c>
      <c r="G376" s="83">
        <f>1878.47+265-128.2+1666+1430.4</f>
        <v>5111.67</v>
      </c>
      <c r="I376" s="63">
        <f>850+906.67+850+850</f>
        <v>3456.67</v>
      </c>
      <c r="K376" s="133"/>
      <c r="L376" s="63"/>
      <c r="M376" s="63"/>
      <c r="N376" s="63"/>
      <c r="O376" s="63"/>
      <c r="P376" s="63"/>
      <c r="Q376" s="63">
        <f t="shared" si="21"/>
        <v>8568.34</v>
      </c>
      <c r="R376" s="63">
        <f t="shared" si="22"/>
        <v>0</v>
      </c>
      <c r="S376" s="63">
        <f t="shared" si="23"/>
        <v>8568.34</v>
      </c>
    </row>
    <row r="377" spans="1:19" x14ac:dyDescent="0.2">
      <c r="A377" s="68">
        <v>125149</v>
      </c>
      <c r="B377" s="68" t="s">
        <v>6555</v>
      </c>
      <c r="C377" s="76">
        <v>255</v>
      </c>
      <c r="D377" s="72" t="s">
        <v>6581</v>
      </c>
      <c r="E377" s="68" t="s">
        <v>19</v>
      </c>
      <c r="F377" s="74">
        <v>42564</v>
      </c>
      <c r="G377" s="83">
        <f>209.5</f>
        <v>209.5</v>
      </c>
      <c r="K377" s="133"/>
      <c r="L377" s="63"/>
      <c r="M377" s="63"/>
      <c r="N377" s="63"/>
      <c r="O377" s="63"/>
      <c r="P377" s="63"/>
      <c r="Q377" s="63">
        <f t="shared" si="21"/>
        <v>209.5</v>
      </c>
      <c r="R377" s="63">
        <f t="shared" si="22"/>
        <v>0</v>
      </c>
      <c r="S377" s="63">
        <f t="shared" si="23"/>
        <v>209.5</v>
      </c>
    </row>
    <row r="378" spans="1:19" x14ac:dyDescent="0.2">
      <c r="A378" s="68">
        <v>123066</v>
      </c>
      <c r="B378" s="68" t="s">
        <v>4528</v>
      </c>
      <c r="C378" s="76">
        <v>256</v>
      </c>
      <c r="D378" s="72" t="s">
        <v>6582</v>
      </c>
      <c r="E378" s="68" t="s">
        <v>19</v>
      </c>
      <c r="F378" s="74">
        <v>42565</v>
      </c>
      <c r="G378" s="83">
        <f>127.49+127.49+3112.53</f>
        <v>3367.51</v>
      </c>
      <c r="I378" s="63">
        <v>1700</v>
      </c>
      <c r="K378" s="133"/>
      <c r="L378" s="63"/>
      <c r="M378" s="63"/>
      <c r="N378" s="63"/>
      <c r="O378" s="63"/>
      <c r="P378" s="63"/>
      <c r="Q378" s="63">
        <f t="shared" si="21"/>
        <v>5067.51</v>
      </c>
      <c r="R378" s="63">
        <f t="shared" si="22"/>
        <v>0</v>
      </c>
      <c r="S378" s="63">
        <f t="shared" si="23"/>
        <v>5067.51</v>
      </c>
    </row>
    <row r="379" spans="1:19" x14ac:dyDescent="0.2">
      <c r="A379" s="68">
        <v>124652</v>
      </c>
      <c r="B379" s="68" t="s">
        <v>6556</v>
      </c>
      <c r="C379" s="76">
        <v>257</v>
      </c>
      <c r="D379" s="72" t="s">
        <v>6583</v>
      </c>
      <c r="E379" s="68" t="s">
        <v>19</v>
      </c>
      <c r="F379" s="74">
        <v>42566</v>
      </c>
      <c r="G379" s="83"/>
      <c r="K379" s="133"/>
      <c r="L379" s="63"/>
      <c r="M379" s="63"/>
      <c r="N379" s="63"/>
      <c r="O379" s="63"/>
      <c r="P379" s="63"/>
      <c r="Q379" s="63">
        <f t="shared" si="21"/>
        <v>0</v>
      </c>
      <c r="R379" s="63">
        <f t="shared" si="22"/>
        <v>0</v>
      </c>
      <c r="S379" s="63">
        <f t="shared" si="23"/>
        <v>0</v>
      </c>
    </row>
    <row r="380" spans="1:19" x14ac:dyDescent="0.2">
      <c r="A380" s="68">
        <v>124652</v>
      </c>
      <c r="B380" s="68" t="s">
        <v>6556</v>
      </c>
      <c r="C380" s="76">
        <v>257</v>
      </c>
      <c r="D380" s="72" t="s">
        <v>6584</v>
      </c>
      <c r="E380" s="68" t="s">
        <v>19</v>
      </c>
      <c r="F380" s="74">
        <v>42566</v>
      </c>
      <c r="G380" s="83">
        <f>49.3+151.6</f>
        <v>200.89999999999998</v>
      </c>
      <c r="K380" s="133"/>
      <c r="L380" s="63"/>
      <c r="M380" s="63"/>
      <c r="N380" s="63"/>
      <c r="O380" s="63"/>
      <c r="P380" s="63"/>
      <c r="Q380" s="63">
        <f t="shared" si="21"/>
        <v>200.89999999999998</v>
      </c>
      <c r="R380" s="63">
        <f t="shared" si="22"/>
        <v>0</v>
      </c>
      <c r="S380" s="63">
        <f t="shared" si="23"/>
        <v>200.89999999999998</v>
      </c>
    </row>
    <row r="381" spans="1:19" x14ac:dyDescent="0.2">
      <c r="A381" s="68">
        <v>127485</v>
      </c>
      <c r="B381" s="68" t="s">
        <v>6557</v>
      </c>
      <c r="C381" s="76">
        <v>258</v>
      </c>
      <c r="D381" s="72" t="s">
        <v>6585</v>
      </c>
      <c r="E381" s="68" t="s">
        <v>19</v>
      </c>
      <c r="F381" s="74">
        <v>42566</v>
      </c>
      <c r="G381" s="83">
        <f>180</f>
        <v>180</v>
      </c>
      <c r="K381" s="133"/>
      <c r="L381" s="63"/>
      <c r="M381" s="63"/>
      <c r="N381" s="63"/>
      <c r="O381" s="63"/>
      <c r="P381" s="63"/>
      <c r="Q381" s="63">
        <f t="shared" si="21"/>
        <v>180</v>
      </c>
      <c r="R381" s="63">
        <f t="shared" si="22"/>
        <v>0</v>
      </c>
      <c r="S381" s="63">
        <f t="shared" si="23"/>
        <v>180</v>
      </c>
    </row>
    <row r="382" spans="1:19" x14ac:dyDescent="0.2">
      <c r="A382" s="68">
        <v>131421</v>
      </c>
      <c r="B382" s="68" t="s">
        <v>3867</v>
      </c>
      <c r="C382" s="76">
        <v>259</v>
      </c>
      <c r="D382" s="72" t="s">
        <v>6586</v>
      </c>
      <c r="E382" s="68" t="s">
        <v>19</v>
      </c>
      <c r="F382" s="74">
        <v>42566</v>
      </c>
      <c r="G382" s="83">
        <f>40</f>
        <v>40</v>
      </c>
      <c r="K382" s="133"/>
      <c r="L382" s="63"/>
      <c r="M382" s="63"/>
      <c r="N382" s="63"/>
      <c r="O382" s="63"/>
      <c r="P382" s="63"/>
      <c r="Q382" s="63">
        <f t="shared" si="21"/>
        <v>40</v>
      </c>
      <c r="R382" s="63">
        <f t="shared" si="22"/>
        <v>0</v>
      </c>
      <c r="S382" s="63">
        <f t="shared" si="23"/>
        <v>40</v>
      </c>
    </row>
    <row r="383" spans="1:19" x14ac:dyDescent="0.2">
      <c r="A383" s="68">
        <v>131421</v>
      </c>
      <c r="B383" s="68" t="s">
        <v>3867</v>
      </c>
      <c r="C383" s="76">
        <v>259</v>
      </c>
      <c r="D383" s="72" t="s">
        <v>6587</v>
      </c>
      <c r="E383" s="68" t="s">
        <v>19</v>
      </c>
      <c r="F383" s="74">
        <v>42566</v>
      </c>
      <c r="G383" s="83">
        <f>40</f>
        <v>40</v>
      </c>
      <c r="K383" s="133"/>
      <c r="L383" s="63"/>
      <c r="M383" s="63"/>
      <c r="N383" s="63"/>
      <c r="O383" s="63"/>
      <c r="P383" s="63"/>
      <c r="Q383" s="63">
        <f t="shared" si="21"/>
        <v>40</v>
      </c>
      <c r="R383" s="63">
        <f t="shared" si="22"/>
        <v>0</v>
      </c>
      <c r="S383" s="63">
        <f t="shared" si="23"/>
        <v>40</v>
      </c>
    </row>
    <row r="384" spans="1:19" x14ac:dyDescent="0.2">
      <c r="A384" s="68">
        <v>131421</v>
      </c>
      <c r="B384" s="68" t="s">
        <v>3867</v>
      </c>
      <c r="C384" s="76">
        <v>259</v>
      </c>
      <c r="D384" s="72" t="s">
        <v>6588</v>
      </c>
      <c r="E384" s="68" t="s">
        <v>19</v>
      </c>
      <c r="F384" s="74">
        <v>42566</v>
      </c>
      <c r="G384" s="83">
        <f>40</f>
        <v>40</v>
      </c>
      <c r="K384" s="133"/>
      <c r="L384" s="63"/>
      <c r="M384" s="63"/>
      <c r="N384" s="63"/>
      <c r="O384" s="63"/>
      <c r="P384" s="63"/>
      <c r="Q384" s="63">
        <f t="shared" si="21"/>
        <v>40</v>
      </c>
      <c r="R384" s="63">
        <f t="shared" si="22"/>
        <v>0</v>
      </c>
      <c r="S384" s="63">
        <f t="shared" si="23"/>
        <v>40</v>
      </c>
    </row>
    <row r="385" spans="1:19" x14ac:dyDescent="0.2">
      <c r="A385" s="68">
        <v>131421</v>
      </c>
      <c r="B385" s="68" t="s">
        <v>3867</v>
      </c>
      <c r="C385" s="76">
        <v>259</v>
      </c>
      <c r="D385" s="72" t="s">
        <v>6589</v>
      </c>
      <c r="E385" s="68" t="s">
        <v>19</v>
      </c>
      <c r="F385" s="74">
        <v>42566</v>
      </c>
      <c r="G385" s="83">
        <f>40</f>
        <v>40</v>
      </c>
      <c r="K385" s="133"/>
      <c r="L385" s="63"/>
      <c r="M385" s="63"/>
      <c r="N385" s="63"/>
      <c r="O385" s="63"/>
      <c r="P385" s="63"/>
      <c r="Q385" s="63">
        <f t="shared" si="21"/>
        <v>40</v>
      </c>
      <c r="R385" s="63">
        <f t="shared" si="22"/>
        <v>0</v>
      </c>
      <c r="S385" s="63">
        <f t="shared" si="23"/>
        <v>40</v>
      </c>
    </row>
    <row r="386" spans="1:19" x14ac:dyDescent="0.2">
      <c r="A386" s="68">
        <v>123367</v>
      </c>
      <c r="B386" s="68" t="s">
        <v>6558</v>
      </c>
      <c r="C386" s="76">
        <v>260</v>
      </c>
      <c r="D386" s="72" t="s">
        <v>6590</v>
      </c>
      <c r="E386" s="68" t="s">
        <v>19</v>
      </c>
      <c r="F386" s="74">
        <v>42567</v>
      </c>
      <c r="G386" s="83">
        <f>40</f>
        <v>40</v>
      </c>
      <c r="K386" s="133"/>
      <c r="L386" s="63"/>
      <c r="M386" s="63"/>
      <c r="N386" s="63"/>
      <c r="O386" s="63"/>
      <c r="P386" s="63"/>
      <c r="Q386" s="63">
        <f t="shared" si="21"/>
        <v>40</v>
      </c>
      <c r="R386" s="63">
        <f t="shared" si="22"/>
        <v>0</v>
      </c>
      <c r="S386" s="63">
        <f t="shared" si="23"/>
        <v>40</v>
      </c>
    </row>
    <row r="387" spans="1:19" x14ac:dyDescent="0.2">
      <c r="A387" s="68">
        <v>136548</v>
      </c>
      <c r="B387" s="68" t="s">
        <v>6559</v>
      </c>
      <c r="C387" s="76">
        <v>261</v>
      </c>
      <c r="D387" s="72" t="s">
        <v>6591</v>
      </c>
      <c r="E387" s="68" t="s">
        <v>19</v>
      </c>
      <c r="F387" s="74">
        <v>42568</v>
      </c>
      <c r="G387" s="83">
        <f>246.95+41.3+79.94</f>
        <v>368.19</v>
      </c>
      <c r="K387" s="133"/>
      <c r="L387" s="63"/>
      <c r="M387" s="63"/>
      <c r="N387" s="63"/>
      <c r="O387" s="63"/>
      <c r="P387" s="63"/>
      <c r="Q387" s="63">
        <f t="shared" si="21"/>
        <v>368.19</v>
      </c>
      <c r="R387" s="63">
        <f t="shared" si="22"/>
        <v>0</v>
      </c>
      <c r="S387" s="63">
        <f t="shared" si="23"/>
        <v>368.19</v>
      </c>
    </row>
    <row r="388" spans="1:19" x14ac:dyDescent="0.2">
      <c r="A388" s="68">
        <v>136548</v>
      </c>
      <c r="B388" s="68" t="s">
        <v>6559</v>
      </c>
      <c r="C388" s="76">
        <v>261</v>
      </c>
      <c r="D388" s="72" t="s">
        <v>6592</v>
      </c>
      <c r="E388" s="68" t="s">
        <v>19</v>
      </c>
      <c r="F388" s="74">
        <v>42568</v>
      </c>
      <c r="G388" s="83">
        <f>760+99.24+41.3+10640.97+41.3+195.2+127.35+575.65+518.23+63+41.3+63+41.3+331.86+98.01+63+41.3+41.3+2210.19+41.3+450+450</f>
        <v>16934.799999999996</v>
      </c>
      <c r="I388" s="63">
        <v>3950</v>
      </c>
      <c r="K388" s="133"/>
      <c r="L388" s="63"/>
      <c r="M388" s="63"/>
      <c r="N388" s="63"/>
      <c r="O388" s="63"/>
      <c r="P388" s="63"/>
      <c r="Q388" s="63">
        <f t="shared" si="21"/>
        <v>20884.799999999996</v>
      </c>
      <c r="R388" s="63">
        <f t="shared" si="22"/>
        <v>0</v>
      </c>
      <c r="S388" s="63">
        <f t="shared" si="23"/>
        <v>20884.799999999996</v>
      </c>
    </row>
    <row r="389" spans="1:19" x14ac:dyDescent="0.2">
      <c r="A389" s="68">
        <v>132722</v>
      </c>
      <c r="B389" s="68" t="s">
        <v>6560</v>
      </c>
      <c r="C389" s="76">
        <v>262</v>
      </c>
      <c r="D389" s="72" t="s">
        <v>6593</v>
      </c>
      <c r="E389" s="68" t="s">
        <v>19</v>
      </c>
      <c r="F389" s="74">
        <v>42569</v>
      </c>
      <c r="G389" s="83">
        <f>93.57</f>
        <v>93.57</v>
      </c>
      <c r="K389" s="133"/>
      <c r="L389" s="63"/>
      <c r="M389" s="63"/>
      <c r="N389" s="63"/>
      <c r="O389" s="63"/>
      <c r="P389" s="63"/>
      <c r="Q389" s="63">
        <f t="shared" si="21"/>
        <v>93.57</v>
      </c>
      <c r="R389" s="63">
        <f t="shared" si="22"/>
        <v>0</v>
      </c>
      <c r="S389" s="63">
        <f t="shared" si="23"/>
        <v>93.57</v>
      </c>
    </row>
    <row r="390" spans="1:19" x14ac:dyDescent="0.2">
      <c r="A390" s="68">
        <v>125312</v>
      </c>
      <c r="B390" s="68" t="s">
        <v>2770</v>
      </c>
      <c r="C390" s="76">
        <v>263</v>
      </c>
      <c r="D390" s="72" t="s">
        <v>6594</v>
      </c>
      <c r="E390" s="68" t="s">
        <v>19</v>
      </c>
      <c r="F390" s="74">
        <v>42569</v>
      </c>
      <c r="G390" s="83">
        <f>106.2</f>
        <v>106.2</v>
      </c>
      <c r="K390" s="133"/>
      <c r="L390" s="63"/>
      <c r="M390" s="63"/>
      <c r="N390" s="63"/>
      <c r="O390" s="63"/>
      <c r="P390" s="63"/>
      <c r="Q390" s="63">
        <f t="shared" si="21"/>
        <v>106.2</v>
      </c>
      <c r="R390" s="63">
        <f t="shared" si="22"/>
        <v>0</v>
      </c>
      <c r="S390" s="63">
        <f t="shared" si="23"/>
        <v>106.2</v>
      </c>
    </row>
    <row r="391" spans="1:19" x14ac:dyDescent="0.2">
      <c r="A391" s="68">
        <v>132414</v>
      </c>
      <c r="B391" s="68" t="s">
        <v>3078</v>
      </c>
      <c r="C391" s="76">
        <v>264</v>
      </c>
      <c r="D391" s="72" t="s">
        <v>6595</v>
      </c>
      <c r="E391" s="68" t="s">
        <v>19</v>
      </c>
      <c r="F391" s="74">
        <v>42570</v>
      </c>
      <c r="G391" s="83">
        <f>1732.8</f>
        <v>1732.8</v>
      </c>
      <c r="K391" s="133"/>
      <c r="L391" s="63"/>
      <c r="M391" s="63"/>
      <c r="N391" s="63"/>
      <c r="O391" s="63"/>
      <c r="P391" s="63"/>
      <c r="Q391" s="63">
        <f t="shared" si="21"/>
        <v>1732.8</v>
      </c>
      <c r="R391" s="63">
        <f t="shared" si="22"/>
        <v>0</v>
      </c>
      <c r="S391" s="63">
        <f t="shared" si="23"/>
        <v>1732.8</v>
      </c>
    </row>
    <row r="392" spans="1:19" x14ac:dyDescent="0.2">
      <c r="A392" s="68">
        <v>128980</v>
      </c>
      <c r="B392" s="68" t="s">
        <v>6561</v>
      </c>
      <c r="C392" s="76">
        <v>265</v>
      </c>
      <c r="D392" s="72" t="s">
        <v>6596</v>
      </c>
      <c r="E392" s="68" t="s">
        <v>19</v>
      </c>
      <c r="F392" s="74">
        <v>42570</v>
      </c>
      <c r="G392" s="83">
        <f>41.2</f>
        <v>41.2</v>
      </c>
      <c r="K392" s="133"/>
      <c r="L392" s="63"/>
      <c r="M392" s="63"/>
      <c r="N392" s="63"/>
      <c r="O392" s="63"/>
      <c r="P392" s="63"/>
      <c r="Q392" s="63">
        <f t="shared" si="21"/>
        <v>41.2</v>
      </c>
      <c r="R392" s="63">
        <f t="shared" si="22"/>
        <v>0</v>
      </c>
      <c r="S392" s="63">
        <f t="shared" si="23"/>
        <v>41.2</v>
      </c>
    </row>
    <row r="393" spans="1:19" x14ac:dyDescent="0.2">
      <c r="A393" s="68">
        <v>128980</v>
      </c>
      <c r="B393" s="68" t="s">
        <v>6561</v>
      </c>
      <c r="C393" s="76">
        <v>265</v>
      </c>
      <c r="D393" s="72" t="s">
        <v>6597</v>
      </c>
      <c r="E393" s="68" t="s">
        <v>19</v>
      </c>
      <c r="F393" s="74">
        <v>42570</v>
      </c>
      <c r="G393" s="83">
        <f>59+18.14+367.2+2500+41.3+975.75+60.42+17.5+17.5+8.44</f>
        <v>4065.2500000000005</v>
      </c>
      <c r="I393" s="63">
        <v>566.66999999999996</v>
      </c>
      <c r="K393" s="133"/>
      <c r="L393" s="63"/>
      <c r="M393" s="63"/>
      <c r="N393" s="63"/>
      <c r="O393" s="63"/>
      <c r="P393" s="63"/>
      <c r="Q393" s="63">
        <f t="shared" si="21"/>
        <v>4631.92</v>
      </c>
      <c r="R393" s="63">
        <f t="shared" si="22"/>
        <v>0</v>
      </c>
      <c r="S393" s="63">
        <f t="shared" si="23"/>
        <v>4631.92</v>
      </c>
    </row>
    <row r="394" spans="1:19" x14ac:dyDescent="0.2">
      <c r="A394" s="68">
        <v>134598</v>
      </c>
      <c r="B394" s="68" t="s">
        <v>6562</v>
      </c>
      <c r="C394" s="76">
        <v>266</v>
      </c>
      <c r="D394" s="72" t="s">
        <v>6598</v>
      </c>
      <c r="E394" s="68" t="s">
        <v>4064</v>
      </c>
      <c r="F394" s="74">
        <v>42570</v>
      </c>
      <c r="G394" s="83">
        <f>127.5+60</f>
        <v>187.5</v>
      </c>
      <c r="K394" s="133"/>
      <c r="L394" s="63"/>
      <c r="M394" s="63"/>
      <c r="N394" s="63"/>
      <c r="O394" s="63"/>
      <c r="P394" s="63"/>
      <c r="Q394" s="63">
        <f t="shared" si="21"/>
        <v>187.5</v>
      </c>
      <c r="R394" s="63">
        <f t="shared" si="22"/>
        <v>0</v>
      </c>
      <c r="S394" s="63">
        <f t="shared" si="23"/>
        <v>187.5</v>
      </c>
    </row>
    <row r="395" spans="1:19" x14ac:dyDescent="0.2">
      <c r="A395" s="68">
        <v>133854</v>
      </c>
      <c r="B395" s="68" t="s">
        <v>6563</v>
      </c>
      <c r="C395" s="76">
        <v>267</v>
      </c>
      <c r="D395" s="72" t="s">
        <v>6599</v>
      </c>
      <c r="E395" s="68" t="s">
        <v>19</v>
      </c>
      <c r="F395" s="74">
        <v>42571</v>
      </c>
      <c r="G395" s="83">
        <f>49.7</f>
        <v>49.7</v>
      </c>
      <c r="K395" s="133"/>
      <c r="L395" s="63"/>
      <c r="M395" s="63"/>
      <c r="N395" s="63"/>
      <c r="O395" s="63"/>
      <c r="P395" s="63"/>
      <c r="Q395" s="63">
        <f t="shared" si="21"/>
        <v>49.7</v>
      </c>
      <c r="R395" s="63">
        <f t="shared" si="22"/>
        <v>0</v>
      </c>
      <c r="S395" s="63">
        <f t="shared" si="23"/>
        <v>49.7</v>
      </c>
    </row>
    <row r="396" spans="1:19" x14ac:dyDescent="0.2">
      <c r="A396" s="68">
        <v>133854</v>
      </c>
      <c r="B396" s="68" t="s">
        <v>6563</v>
      </c>
      <c r="C396" s="76">
        <v>267</v>
      </c>
      <c r="D396" s="72" t="s">
        <v>6600</v>
      </c>
      <c r="E396" s="68" t="s">
        <v>19</v>
      </c>
      <c r="F396" s="74">
        <v>42571</v>
      </c>
      <c r="G396" s="83">
        <f>40.9</f>
        <v>40.9</v>
      </c>
      <c r="K396" s="133"/>
      <c r="L396" s="63"/>
      <c r="M396" s="63"/>
      <c r="N396" s="63"/>
      <c r="O396" s="63"/>
      <c r="P396" s="63"/>
      <c r="Q396" s="63">
        <f t="shared" si="21"/>
        <v>40.9</v>
      </c>
      <c r="R396" s="63">
        <f t="shared" si="22"/>
        <v>0</v>
      </c>
      <c r="S396" s="63">
        <f t="shared" si="23"/>
        <v>40.9</v>
      </c>
    </row>
    <row r="397" spans="1:19" x14ac:dyDescent="0.2">
      <c r="A397" s="68">
        <v>127891</v>
      </c>
      <c r="B397" s="68" t="s">
        <v>6564</v>
      </c>
      <c r="C397" s="76">
        <v>268</v>
      </c>
      <c r="D397" s="72" t="s">
        <v>6601</v>
      </c>
      <c r="E397" s="68" t="s">
        <v>19</v>
      </c>
      <c r="F397" s="74">
        <v>42574</v>
      </c>
      <c r="G397" s="83">
        <v>218.55</v>
      </c>
      <c r="K397" s="133"/>
      <c r="L397" s="63"/>
      <c r="M397" s="63"/>
      <c r="N397" s="63"/>
      <c r="O397" s="63"/>
      <c r="P397" s="63"/>
      <c r="Q397" s="63">
        <f t="shared" si="21"/>
        <v>218.55</v>
      </c>
      <c r="R397" s="63">
        <f t="shared" si="22"/>
        <v>0</v>
      </c>
      <c r="S397" s="63">
        <f t="shared" si="23"/>
        <v>218.55</v>
      </c>
    </row>
    <row r="398" spans="1:19" x14ac:dyDescent="0.2">
      <c r="A398" s="68">
        <v>127891</v>
      </c>
      <c r="B398" s="68" t="s">
        <v>6564</v>
      </c>
      <c r="C398" s="76">
        <v>268</v>
      </c>
      <c r="D398" s="72" t="s">
        <v>6602</v>
      </c>
      <c r="E398" s="68" t="s">
        <v>19</v>
      </c>
      <c r="F398" s="74">
        <v>42574</v>
      </c>
      <c r="G398" s="83">
        <v>66.400000000000006</v>
      </c>
      <c r="K398" s="133"/>
      <c r="L398" s="63"/>
      <c r="M398" s="63"/>
      <c r="N398" s="63"/>
      <c r="O398" s="63"/>
      <c r="P398" s="63"/>
      <c r="Q398" s="63">
        <f t="shared" si="21"/>
        <v>66.400000000000006</v>
      </c>
      <c r="R398" s="63">
        <f t="shared" si="22"/>
        <v>0</v>
      </c>
      <c r="S398" s="63">
        <f t="shared" si="23"/>
        <v>66.400000000000006</v>
      </c>
    </row>
    <row r="399" spans="1:19" x14ac:dyDescent="0.2">
      <c r="A399" s="68">
        <v>127891</v>
      </c>
      <c r="B399" s="68" t="s">
        <v>6564</v>
      </c>
      <c r="C399" s="76">
        <v>268</v>
      </c>
      <c r="D399" s="72" t="s">
        <v>6603</v>
      </c>
      <c r="E399" s="68" t="s">
        <v>19</v>
      </c>
      <c r="F399" s="74">
        <v>42574</v>
      </c>
      <c r="G399" s="83">
        <v>66.14</v>
      </c>
      <c r="K399" s="133"/>
      <c r="L399" s="63"/>
      <c r="M399" s="63"/>
      <c r="N399" s="63"/>
      <c r="O399" s="63"/>
      <c r="P399" s="63"/>
      <c r="Q399" s="63">
        <f t="shared" si="21"/>
        <v>66.14</v>
      </c>
      <c r="R399" s="63">
        <f t="shared" si="22"/>
        <v>0</v>
      </c>
      <c r="S399" s="63">
        <f t="shared" si="23"/>
        <v>66.14</v>
      </c>
    </row>
    <row r="400" spans="1:19" x14ac:dyDescent="0.2">
      <c r="A400" s="68">
        <v>127891</v>
      </c>
      <c r="B400" s="68" t="s">
        <v>6564</v>
      </c>
      <c r="C400" s="76">
        <v>268</v>
      </c>
      <c r="D400" s="72" t="s">
        <v>6604</v>
      </c>
      <c r="E400" s="68" t="s">
        <v>19</v>
      </c>
      <c r="F400" s="74">
        <v>42574</v>
      </c>
      <c r="G400" s="83">
        <v>66.430000000000007</v>
      </c>
      <c r="K400" s="133"/>
      <c r="L400" s="63"/>
      <c r="M400" s="63"/>
      <c r="N400" s="63"/>
      <c r="O400" s="63"/>
      <c r="P400" s="63"/>
      <c r="Q400" s="63">
        <f t="shared" si="21"/>
        <v>66.430000000000007</v>
      </c>
      <c r="R400" s="63">
        <f t="shared" si="22"/>
        <v>0</v>
      </c>
      <c r="S400" s="63">
        <f t="shared" si="23"/>
        <v>66.430000000000007</v>
      </c>
    </row>
    <row r="401" spans="1:19" x14ac:dyDescent="0.2">
      <c r="A401" s="68">
        <v>127891</v>
      </c>
      <c r="B401" s="68" t="s">
        <v>6564</v>
      </c>
      <c r="C401" s="76">
        <v>268</v>
      </c>
      <c r="D401" s="72" t="s">
        <v>6605</v>
      </c>
      <c r="E401" s="68" t="s">
        <v>19</v>
      </c>
      <c r="F401" s="74">
        <v>42574</v>
      </c>
      <c r="G401" s="83">
        <f>40.5</f>
        <v>40.5</v>
      </c>
      <c r="K401" s="133"/>
      <c r="L401" s="63"/>
      <c r="M401" s="63"/>
      <c r="N401" s="63"/>
      <c r="O401" s="63"/>
      <c r="P401" s="63"/>
      <c r="Q401" s="63">
        <f t="shared" si="21"/>
        <v>40.5</v>
      </c>
      <c r="R401" s="63">
        <f t="shared" si="22"/>
        <v>0</v>
      </c>
      <c r="S401" s="63">
        <f t="shared" si="23"/>
        <v>40.5</v>
      </c>
    </row>
    <row r="402" spans="1:19" x14ac:dyDescent="0.2">
      <c r="A402" s="68">
        <v>131839</v>
      </c>
      <c r="B402" s="68" t="s">
        <v>6565</v>
      </c>
      <c r="C402" s="76">
        <v>269</v>
      </c>
      <c r="D402" s="72" t="s">
        <v>6606</v>
      </c>
      <c r="E402" s="68" t="s">
        <v>19</v>
      </c>
      <c r="F402" s="74">
        <v>42575</v>
      </c>
      <c r="G402" s="83">
        <f>105.7</f>
        <v>105.7</v>
      </c>
      <c r="K402" s="133"/>
      <c r="L402" s="63"/>
      <c r="M402" s="63"/>
      <c r="N402" s="63"/>
      <c r="O402" s="63"/>
      <c r="P402" s="63"/>
      <c r="Q402" s="63">
        <f t="shared" si="21"/>
        <v>105.7</v>
      </c>
      <c r="R402" s="63">
        <f t="shared" si="22"/>
        <v>0</v>
      </c>
      <c r="S402" s="63">
        <f t="shared" si="23"/>
        <v>105.7</v>
      </c>
    </row>
    <row r="403" spans="1:19" x14ac:dyDescent="0.2">
      <c r="A403" s="68">
        <v>127187</v>
      </c>
      <c r="B403" s="68" t="s">
        <v>6566</v>
      </c>
      <c r="C403" s="76">
        <v>270</v>
      </c>
      <c r="D403" s="72" t="s">
        <v>6607</v>
      </c>
      <c r="E403" s="68" t="s">
        <v>4064</v>
      </c>
      <c r="F403" s="74">
        <v>42575</v>
      </c>
      <c r="G403" s="83">
        <f>1595+171+1248.4</f>
        <v>3014.4</v>
      </c>
      <c r="I403" s="63">
        <v>2550</v>
      </c>
      <c r="K403" s="133"/>
      <c r="L403" s="63"/>
      <c r="M403" s="63"/>
      <c r="N403" s="63"/>
      <c r="O403" s="63"/>
      <c r="P403" s="63"/>
      <c r="Q403" s="63">
        <f t="shared" si="21"/>
        <v>5564.4</v>
      </c>
      <c r="R403" s="63">
        <f t="shared" si="22"/>
        <v>0</v>
      </c>
      <c r="S403" s="63">
        <f t="shared" si="23"/>
        <v>5564.4</v>
      </c>
    </row>
    <row r="404" spans="1:19" x14ac:dyDescent="0.2">
      <c r="A404" s="68">
        <v>131883</v>
      </c>
      <c r="B404" s="68" t="s">
        <v>6567</v>
      </c>
      <c r="C404" s="76">
        <v>271</v>
      </c>
      <c r="D404" s="72" t="s">
        <v>6608</v>
      </c>
      <c r="E404" s="68" t="s">
        <v>19</v>
      </c>
      <c r="F404" s="74">
        <v>42576</v>
      </c>
      <c r="G404" s="83">
        <v>436.31</v>
      </c>
      <c r="K404" s="133"/>
      <c r="L404" s="63"/>
      <c r="M404" s="63"/>
      <c r="N404" s="63"/>
      <c r="O404" s="63"/>
      <c r="P404" s="63"/>
      <c r="Q404" s="63">
        <f t="shared" si="21"/>
        <v>436.31</v>
      </c>
      <c r="R404" s="63">
        <f t="shared" si="22"/>
        <v>0</v>
      </c>
      <c r="S404" s="63">
        <f t="shared" si="23"/>
        <v>436.31</v>
      </c>
    </row>
    <row r="405" spans="1:19" x14ac:dyDescent="0.2">
      <c r="A405" s="68">
        <v>136118</v>
      </c>
      <c r="B405" s="68" t="s">
        <v>6568</v>
      </c>
      <c r="C405" s="76">
        <v>272</v>
      </c>
      <c r="D405" s="72" t="s">
        <v>6609</v>
      </c>
      <c r="E405" s="68" t="s">
        <v>19</v>
      </c>
      <c r="F405" s="74">
        <v>42576</v>
      </c>
      <c r="G405" s="83">
        <f>159.32+351.55+60.92</f>
        <v>571.79</v>
      </c>
      <c r="K405" s="133"/>
      <c r="L405" s="63"/>
      <c r="M405" s="63"/>
      <c r="N405" s="63"/>
      <c r="O405" s="63"/>
      <c r="P405" s="63"/>
      <c r="Q405" s="63">
        <f t="shared" si="21"/>
        <v>571.79</v>
      </c>
      <c r="R405" s="63">
        <f t="shared" si="22"/>
        <v>0</v>
      </c>
      <c r="S405" s="63">
        <f t="shared" si="23"/>
        <v>571.79</v>
      </c>
    </row>
    <row r="406" spans="1:19" x14ac:dyDescent="0.2">
      <c r="A406" s="68">
        <v>129407</v>
      </c>
      <c r="B406" s="68" t="s">
        <v>6569</v>
      </c>
      <c r="C406" s="76">
        <v>273</v>
      </c>
      <c r="D406" s="72" t="s">
        <v>6610</v>
      </c>
      <c r="E406" s="68" t="s">
        <v>19</v>
      </c>
      <c r="F406" s="74">
        <v>42577</v>
      </c>
      <c r="G406" s="83">
        <f>35+162.6</f>
        <v>197.6</v>
      </c>
      <c r="K406" s="133"/>
      <c r="L406" s="63"/>
      <c r="M406" s="63"/>
      <c r="N406" s="63"/>
      <c r="O406" s="63"/>
      <c r="P406" s="63"/>
      <c r="Q406" s="63">
        <f t="shared" si="21"/>
        <v>197.6</v>
      </c>
      <c r="R406" s="63">
        <f t="shared" si="22"/>
        <v>0</v>
      </c>
      <c r="S406" s="63">
        <f t="shared" si="23"/>
        <v>197.6</v>
      </c>
    </row>
    <row r="407" spans="1:19" x14ac:dyDescent="0.2">
      <c r="A407" s="68">
        <v>124009</v>
      </c>
      <c r="B407" s="68" t="s">
        <v>6570</v>
      </c>
      <c r="C407" s="76">
        <v>274</v>
      </c>
      <c r="D407" s="72" t="s">
        <v>6611</v>
      </c>
      <c r="E407" s="68" t="s">
        <v>19</v>
      </c>
      <c r="F407" s="74">
        <v>42581</v>
      </c>
      <c r="G407" s="83">
        <f>170.16</f>
        <v>170.16</v>
      </c>
      <c r="K407" s="133"/>
      <c r="L407" s="63"/>
      <c r="M407" s="63"/>
      <c r="N407" s="63"/>
      <c r="O407" s="63"/>
      <c r="P407" s="63"/>
      <c r="Q407" s="63">
        <f t="shared" si="21"/>
        <v>170.16</v>
      </c>
      <c r="R407" s="63">
        <f t="shared" si="22"/>
        <v>0</v>
      </c>
      <c r="S407" s="63">
        <f t="shared" si="23"/>
        <v>170.16</v>
      </c>
    </row>
    <row r="408" spans="1:19" x14ac:dyDescent="0.2">
      <c r="A408" s="68">
        <v>131883</v>
      </c>
      <c r="B408" s="68" t="s">
        <v>6571</v>
      </c>
      <c r="C408" s="76">
        <v>275</v>
      </c>
      <c r="D408" s="72" t="s">
        <v>6612</v>
      </c>
      <c r="E408" s="68" t="s">
        <v>19</v>
      </c>
      <c r="F408" s="74">
        <v>42583</v>
      </c>
      <c r="G408" s="83">
        <v>92.57</v>
      </c>
      <c r="K408" s="133"/>
      <c r="L408" s="63"/>
      <c r="M408" s="63"/>
      <c r="N408" s="63"/>
      <c r="O408" s="63"/>
      <c r="P408" s="63"/>
      <c r="Q408" s="63">
        <f t="shared" si="21"/>
        <v>92.57</v>
      </c>
      <c r="R408" s="63">
        <f t="shared" si="22"/>
        <v>0</v>
      </c>
      <c r="S408" s="63">
        <f t="shared" si="23"/>
        <v>92.57</v>
      </c>
    </row>
    <row r="409" spans="1:19" x14ac:dyDescent="0.2">
      <c r="A409" s="68">
        <v>131883</v>
      </c>
      <c r="B409" s="68" t="s">
        <v>6571</v>
      </c>
      <c r="C409" s="76">
        <v>275</v>
      </c>
      <c r="D409" s="72" t="s">
        <v>6613</v>
      </c>
      <c r="E409" s="68" t="s">
        <v>19</v>
      </c>
      <c r="F409" s="74">
        <v>42583</v>
      </c>
      <c r="G409" s="83">
        <f>92.75</f>
        <v>92.75</v>
      </c>
      <c r="K409" s="133"/>
      <c r="L409" s="63"/>
      <c r="M409" s="63"/>
      <c r="N409" s="63"/>
      <c r="O409" s="63"/>
      <c r="P409" s="63"/>
      <c r="Q409" s="63">
        <f t="shared" si="21"/>
        <v>92.75</v>
      </c>
      <c r="R409" s="63">
        <f t="shared" si="22"/>
        <v>0</v>
      </c>
      <c r="S409" s="63">
        <f t="shared" si="23"/>
        <v>92.75</v>
      </c>
    </row>
    <row r="410" spans="1:19" x14ac:dyDescent="0.2">
      <c r="A410" s="68">
        <v>131883</v>
      </c>
      <c r="B410" s="68" t="s">
        <v>6571</v>
      </c>
      <c r="C410" s="76">
        <v>275</v>
      </c>
      <c r="D410" s="72" t="s">
        <v>6614</v>
      </c>
      <c r="E410" s="68" t="s">
        <v>19</v>
      </c>
      <c r="F410" s="74">
        <v>42583</v>
      </c>
      <c r="G410" s="83">
        <f>92.57</f>
        <v>92.57</v>
      </c>
      <c r="K410" s="133"/>
      <c r="L410" s="63"/>
      <c r="M410" s="63"/>
      <c r="N410" s="63"/>
      <c r="O410" s="63"/>
      <c r="P410" s="63"/>
      <c r="Q410" s="63">
        <f t="shared" si="21"/>
        <v>92.57</v>
      </c>
      <c r="R410" s="63">
        <f t="shared" si="22"/>
        <v>0</v>
      </c>
      <c r="S410" s="63">
        <f t="shared" si="23"/>
        <v>92.57</v>
      </c>
    </row>
    <row r="411" spans="1:19" x14ac:dyDescent="0.2">
      <c r="A411" s="68">
        <v>133596</v>
      </c>
      <c r="B411" s="68" t="s">
        <v>6572</v>
      </c>
      <c r="C411" s="76">
        <v>276</v>
      </c>
      <c r="D411" s="72" t="s">
        <v>6615</v>
      </c>
      <c r="E411" s="68" t="s">
        <v>19</v>
      </c>
      <c r="F411" s="74">
        <v>42583</v>
      </c>
      <c r="G411" s="83">
        <f>155.17</f>
        <v>155.16999999999999</v>
      </c>
      <c r="K411" s="133"/>
      <c r="L411" s="63"/>
      <c r="M411" s="63"/>
      <c r="N411" s="63"/>
      <c r="O411" s="63"/>
      <c r="P411" s="63"/>
      <c r="Q411" s="63">
        <f t="shared" si="21"/>
        <v>155.16999999999999</v>
      </c>
      <c r="R411" s="63">
        <f t="shared" si="22"/>
        <v>0</v>
      </c>
      <c r="S411" s="63">
        <f t="shared" si="23"/>
        <v>155.16999999999999</v>
      </c>
    </row>
    <row r="412" spans="1:19" x14ac:dyDescent="0.2">
      <c r="A412" s="68">
        <v>133325</v>
      </c>
      <c r="B412" s="68" t="s">
        <v>6573</v>
      </c>
      <c r="C412" s="76">
        <v>277</v>
      </c>
      <c r="D412" s="72" t="s">
        <v>6616</v>
      </c>
      <c r="E412" s="68" t="s">
        <v>4179</v>
      </c>
      <c r="F412" s="74">
        <v>42583</v>
      </c>
      <c r="G412" s="83">
        <f>200+109.1</f>
        <v>309.10000000000002</v>
      </c>
      <c r="K412" s="133"/>
      <c r="L412" s="63"/>
      <c r="M412" s="63"/>
      <c r="N412" s="63"/>
      <c r="O412" s="63"/>
      <c r="P412" s="63"/>
      <c r="Q412" s="63">
        <f t="shared" si="21"/>
        <v>309.10000000000002</v>
      </c>
      <c r="R412" s="63">
        <f t="shared" si="22"/>
        <v>0</v>
      </c>
      <c r="S412" s="63">
        <f t="shared" si="23"/>
        <v>309.10000000000002</v>
      </c>
    </row>
    <row r="413" spans="1:19" x14ac:dyDescent="0.2">
      <c r="A413" s="68">
        <v>133325</v>
      </c>
      <c r="B413" s="68" t="s">
        <v>6573</v>
      </c>
      <c r="C413" s="76">
        <v>277</v>
      </c>
      <c r="D413" s="72" t="s">
        <v>6849</v>
      </c>
      <c r="E413" s="68" t="s">
        <v>4179</v>
      </c>
      <c r="F413" s="74">
        <v>42583</v>
      </c>
      <c r="G413" s="83">
        <v>63.8</v>
      </c>
      <c r="K413" s="133"/>
      <c r="L413" s="63"/>
      <c r="M413" s="63"/>
      <c r="N413" s="63"/>
      <c r="O413" s="63"/>
      <c r="P413" s="63"/>
      <c r="Q413" s="63">
        <f t="shared" si="21"/>
        <v>63.8</v>
      </c>
      <c r="R413" s="63">
        <f t="shared" si="22"/>
        <v>0</v>
      </c>
      <c r="S413" s="63">
        <f t="shared" si="23"/>
        <v>63.8</v>
      </c>
    </row>
    <row r="414" spans="1:19" x14ac:dyDescent="0.2">
      <c r="A414" s="68">
        <v>129715</v>
      </c>
      <c r="B414" s="68" t="s">
        <v>6619</v>
      </c>
      <c r="C414" s="76">
        <v>278</v>
      </c>
      <c r="D414" s="72" t="s">
        <v>6620</v>
      </c>
      <c r="E414" s="72" t="s">
        <v>19</v>
      </c>
      <c r="F414" s="74">
        <v>42585</v>
      </c>
      <c r="G414" s="83">
        <f>35</f>
        <v>35</v>
      </c>
      <c r="K414" s="133"/>
      <c r="L414" s="63"/>
      <c r="M414" s="63"/>
      <c r="N414" s="63"/>
      <c r="O414" s="63"/>
      <c r="P414" s="63"/>
      <c r="Q414" s="63">
        <f t="shared" si="21"/>
        <v>35</v>
      </c>
      <c r="R414" s="63">
        <f t="shared" si="22"/>
        <v>0</v>
      </c>
      <c r="S414" s="63">
        <f t="shared" si="23"/>
        <v>35</v>
      </c>
    </row>
    <row r="415" spans="1:19" x14ac:dyDescent="0.2">
      <c r="A415" s="68">
        <v>141117</v>
      </c>
      <c r="B415" s="68" t="s">
        <v>6621</v>
      </c>
      <c r="C415" s="76">
        <v>279</v>
      </c>
      <c r="D415" s="72" t="s">
        <v>6618</v>
      </c>
      <c r="E415" s="72" t="s">
        <v>19</v>
      </c>
      <c r="F415" s="74">
        <v>42586</v>
      </c>
      <c r="G415" s="83">
        <f>260.4+425</f>
        <v>685.4</v>
      </c>
      <c r="K415" s="133"/>
      <c r="L415" s="63"/>
      <c r="M415" s="63">
        <v>3950</v>
      </c>
      <c r="N415" s="63"/>
      <c r="O415" s="63">
        <v>15800</v>
      </c>
      <c r="P415" s="63"/>
      <c r="Q415" s="63">
        <f t="shared" ref="Q415:Q478" si="24">+G415+I415+K415+M415+O415</f>
        <v>20435.400000000001</v>
      </c>
      <c r="R415" s="63">
        <f t="shared" ref="R415:R478" si="25">+H415+J415+L415+N415+P415</f>
        <v>0</v>
      </c>
      <c r="S415" s="63">
        <f t="shared" ref="S415:S478" si="26">+Q415+R415</f>
        <v>20435.400000000001</v>
      </c>
    </row>
    <row r="416" spans="1:19" x14ac:dyDescent="0.2">
      <c r="A416" s="68">
        <v>90684</v>
      </c>
      <c r="B416" s="68" t="s">
        <v>6622</v>
      </c>
      <c r="C416" s="76">
        <v>280</v>
      </c>
      <c r="D416" s="72" t="s">
        <v>6706</v>
      </c>
      <c r="E416" s="72" t="s">
        <v>4064</v>
      </c>
      <c r="F416" s="74">
        <v>42586</v>
      </c>
      <c r="G416" s="83">
        <f>46.65+132</f>
        <v>178.65</v>
      </c>
      <c r="K416" s="133"/>
      <c r="L416" s="63"/>
      <c r="M416" s="63"/>
      <c r="N416" s="63"/>
      <c r="O416" s="63"/>
      <c r="P416" s="63"/>
      <c r="Q416" s="63">
        <f t="shared" si="24"/>
        <v>178.65</v>
      </c>
      <c r="R416" s="63">
        <f t="shared" si="25"/>
        <v>0</v>
      </c>
      <c r="S416" s="63">
        <f t="shared" si="26"/>
        <v>178.65</v>
      </c>
    </row>
    <row r="417" spans="1:19" x14ac:dyDescent="0.2">
      <c r="A417" s="68">
        <v>125095</v>
      </c>
      <c r="B417" s="68" t="s">
        <v>6623</v>
      </c>
      <c r="C417" s="76">
        <v>281</v>
      </c>
      <c r="D417" s="72" t="s">
        <v>6705</v>
      </c>
      <c r="E417" s="72" t="s">
        <v>19</v>
      </c>
      <c r="F417" s="74">
        <v>42586</v>
      </c>
      <c r="G417" s="83">
        <f>6986.01+290.86+290.86+843.52+290.86+187.78+63+1198.5063+41.3+124.73+63+227.54+156.77+156.77+163.35+78.19+457.9+132.34+190.4+353.75+41.3</f>
        <v>12338.7363</v>
      </c>
      <c r="I417" s="63">
        <f>3950</f>
        <v>3950</v>
      </c>
      <c r="K417" s="133"/>
      <c r="L417" s="63"/>
      <c r="M417" s="63"/>
      <c r="N417" s="63"/>
      <c r="O417" s="63"/>
      <c r="P417" s="63"/>
      <c r="Q417" s="63">
        <f t="shared" si="24"/>
        <v>16288.7363</v>
      </c>
      <c r="R417" s="63">
        <f t="shared" si="25"/>
        <v>0</v>
      </c>
      <c r="S417" s="63">
        <f t="shared" si="26"/>
        <v>16288.7363</v>
      </c>
    </row>
    <row r="418" spans="1:19" x14ac:dyDescent="0.2">
      <c r="A418" s="68">
        <v>138562</v>
      </c>
      <c r="B418" s="68" t="s">
        <v>6624</v>
      </c>
      <c r="C418" s="76">
        <v>282</v>
      </c>
      <c r="D418" s="72" t="s">
        <v>6704</v>
      </c>
      <c r="E418" s="72" t="s">
        <v>19</v>
      </c>
      <c r="F418" s="74">
        <v>42586</v>
      </c>
      <c r="G418" s="83">
        <f>1562.6+69.51</f>
        <v>1632.11</v>
      </c>
      <c r="I418" s="63">
        <v>906.67</v>
      </c>
      <c r="K418" s="133"/>
      <c r="L418" s="63"/>
      <c r="M418" s="63"/>
      <c r="N418" s="63"/>
      <c r="O418" s="63"/>
      <c r="P418" s="63"/>
      <c r="Q418" s="63">
        <f t="shared" si="24"/>
        <v>2538.7799999999997</v>
      </c>
      <c r="R418" s="63">
        <f t="shared" si="25"/>
        <v>0</v>
      </c>
      <c r="S418" s="63">
        <f t="shared" si="26"/>
        <v>2538.7799999999997</v>
      </c>
    </row>
    <row r="419" spans="1:19" x14ac:dyDescent="0.2">
      <c r="A419" s="68">
        <v>133434</v>
      </c>
      <c r="B419" s="68" t="s">
        <v>6625</v>
      </c>
      <c r="C419" s="76">
        <v>283</v>
      </c>
      <c r="D419" s="72" t="s">
        <v>6703</v>
      </c>
      <c r="E419" s="72" t="s">
        <v>19</v>
      </c>
      <c r="F419" s="74">
        <v>42586</v>
      </c>
      <c r="G419" s="83">
        <f>126.67</f>
        <v>126.67</v>
      </c>
      <c r="K419" s="133"/>
      <c r="L419" s="63"/>
      <c r="M419" s="63"/>
      <c r="N419" s="63"/>
      <c r="O419" s="63"/>
      <c r="P419" s="63"/>
      <c r="Q419" s="63">
        <f t="shared" si="24"/>
        <v>126.67</v>
      </c>
      <c r="R419" s="63">
        <f t="shared" si="25"/>
        <v>0</v>
      </c>
      <c r="S419" s="63">
        <f t="shared" si="26"/>
        <v>126.67</v>
      </c>
    </row>
    <row r="420" spans="1:19" x14ac:dyDescent="0.2">
      <c r="A420" s="68">
        <v>133434</v>
      </c>
      <c r="B420" s="68" t="s">
        <v>6625</v>
      </c>
      <c r="C420" s="76">
        <v>283</v>
      </c>
      <c r="D420" s="72" t="s">
        <v>6702</v>
      </c>
      <c r="E420" s="72" t="s">
        <v>19</v>
      </c>
      <c r="F420" s="74">
        <v>42586</v>
      </c>
      <c r="G420" s="83">
        <f>289.87</f>
        <v>289.87</v>
      </c>
      <c r="K420" s="133"/>
      <c r="L420" s="63"/>
      <c r="M420" s="63"/>
      <c r="N420" s="63"/>
      <c r="O420" s="63"/>
      <c r="P420" s="63"/>
      <c r="Q420" s="63">
        <f t="shared" si="24"/>
        <v>289.87</v>
      </c>
      <c r="R420" s="63">
        <f t="shared" si="25"/>
        <v>0</v>
      </c>
      <c r="S420" s="63">
        <f t="shared" si="26"/>
        <v>289.87</v>
      </c>
    </row>
    <row r="421" spans="1:19" x14ac:dyDescent="0.2">
      <c r="A421" s="68">
        <v>133434</v>
      </c>
      <c r="B421" s="68" t="s">
        <v>6625</v>
      </c>
      <c r="C421" s="76">
        <v>283</v>
      </c>
      <c r="D421" s="72" t="s">
        <v>6701</v>
      </c>
      <c r="E421" s="72" t="s">
        <v>19</v>
      </c>
      <c r="F421" s="74">
        <v>42586</v>
      </c>
      <c r="G421" s="83">
        <f>180.13</f>
        <v>180.13</v>
      </c>
      <c r="K421" s="133"/>
      <c r="L421" s="63"/>
      <c r="M421" s="63"/>
      <c r="N421" s="63"/>
      <c r="O421" s="63"/>
      <c r="P421" s="63"/>
      <c r="Q421" s="63">
        <f t="shared" si="24"/>
        <v>180.13</v>
      </c>
      <c r="R421" s="63">
        <f t="shared" si="25"/>
        <v>0</v>
      </c>
      <c r="S421" s="63">
        <f t="shared" si="26"/>
        <v>180.13</v>
      </c>
    </row>
    <row r="422" spans="1:19" x14ac:dyDescent="0.2">
      <c r="A422" s="68">
        <v>133434</v>
      </c>
      <c r="B422" s="68" t="s">
        <v>6625</v>
      </c>
      <c r="C422" s="76">
        <v>283</v>
      </c>
      <c r="D422" s="72" t="s">
        <v>6700</v>
      </c>
      <c r="E422" s="72" t="s">
        <v>19</v>
      </c>
      <c r="F422" s="74">
        <v>42586</v>
      </c>
      <c r="G422" s="83">
        <f>222.61</f>
        <v>222.61</v>
      </c>
      <c r="K422" s="133"/>
      <c r="L422" s="63"/>
      <c r="M422" s="63"/>
      <c r="N422" s="63"/>
      <c r="O422" s="63"/>
      <c r="P422" s="63"/>
      <c r="Q422" s="63">
        <f t="shared" si="24"/>
        <v>222.61</v>
      </c>
      <c r="R422" s="63">
        <f t="shared" si="25"/>
        <v>0</v>
      </c>
      <c r="S422" s="63">
        <f t="shared" si="26"/>
        <v>222.61</v>
      </c>
    </row>
    <row r="423" spans="1:19" x14ac:dyDescent="0.2">
      <c r="A423" s="68">
        <v>133434</v>
      </c>
      <c r="B423" s="68" t="s">
        <v>6625</v>
      </c>
      <c r="C423" s="76">
        <v>283</v>
      </c>
      <c r="D423" s="72" t="s">
        <v>6699</v>
      </c>
      <c r="E423" s="72" t="s">
        <v>19</v>
      </c>
      <c r="F423" s="74">
        <v>42586</v>
      </c>
      <c r="G423" s="83">
        <f>486.4</f>
        <v>486.4</v>
      </c>
      <c r="K423" s="133"/>
      <c r="L423" s="63"/>
      <c r="M423" s="63"/>
      <c r="N423" s="63"/>
      <c r="O423" s="63"/>
      <c r="P423" s="63"/>
      <c r="Q423" s="63">
        <f t="shared" si="24"/>
        <v>486.4</v>
      </c>
      <c r="R423" s="63">
        <f t="shared" si="25"/>
        <v>0</v>
      </c>
      <c r="S423" s="63">
        <f t="shared" si="26"/>
        <v>486.4</v>
      </c>
    </row>
    <row r="424" spans="1:19" x14ac:dyDescent="0.2">
      <c r="A424" s="68">
        <v>123238</v>
      </c>
      <c r="B424" s="68" t="s">
        <v>6626</v>
      </c>
      <c r="C424" s="76">
        <v>284</v>
      </c>
      <c r="D424" s="72" t="s">
        <v>6698</v>
      </c>
      <c r="E424" s="72" t="s">
        <v>19</v>
      </c>
      <c r="F424" s="74">
        <v>42587</v>
      </c>
      <c r="G424" s="83">
        <f>330+692.96</f>
        <v>1022.96</v>
      </c>
      <c r="K424" s="133"/>
      <c r="L424" s="63"/>
      <c r="M424" s="63"/>
      <c r="N424" s="63"/>
      <c r="O424" s="63"/>
      <c r="P424" s="63"/>
      <c r="Q424" s="63">
        <f t="shared" si="24"/>
        <v>1022.96</v>
      </c>
      <c r="R424" s="63">
        <f t="shared" si="25"/>
        <v>0</v>
      </c>
      <c r="S424" s="63">
        <f t="shared" si="26"/>
        <v>1022.96</v>
      </c>
    </row>
    <row r="425" spans="1:19" x14ac:dyDescent="0.2">
      <c r="A425" s="68">
        <v>123238</v>
      </c>
      <c r="B425" s="68" t="s">
        <v>6626</v>
      </c>
      <c r="C425" s="76">
        <v>284</v>
      </c>
      <c r="D425" s="72" t="s">
        <v>6697</v>
      </c>
      <c r="E425" s="72" t="s">
        <v>19</v>
      </c>
      <c r="F425" s="74">
        <v>42587</v>
      </c>
      <c r="G425" s="83">
        <f>211.63</f>
        <v>211.63</v>
      </c>
      <c r="K425" s="133"/>
      <c r="L425" s="63"/>
      <c r="M425" s="63"/>
      <c r="N425" s="63"/>
      <c r="O425" s="63"/>
      <c r="P425" s="63"/>
      <c r="Q425" s="63">
        <f t="shared" si="24"/>
        <v>211.63</v>
      </c>
      <c r="R425" s="63">
        <f t="shared" si="25"/>
        <v>0</v>
      </c>
      <c r="S425" s="63">
        <f t="shared" si="26"/>
        <v>211.63</v>
      </c>
    </row>
    <row r="426" spans="1:19" x14ac:dyDescent="0.2">
      <c r="A426" s="68">
        <v>133773</v>
      </c>
      <c r="B426" s="68" t="s">
        <v>6627</v>
      </c>
      <c r="C426" s="76">
        <v>285</v>
      </c>
      <c r="D426" s="72" t="s">
        <v>6696</v>
      </c>
      <c r="E426" s="72" t="s">
        <v>19</v>
      </c>
      <c r="F426" s="74">
        <v>42587</v>
      </c>
      <c r="G426" s="83">
        <f>351.15+493</f>
        <v>844.15</v>
      </c>
      <c r="I426" s="63">
        <f>1190+1190</f>
        <v>2380</v>
      </c>
      <c r="K426" s="133"/>
      <c r="L426" s="63"/>
      <c r="M426" s="63"/>
      <c r="N426" s="63"/>
      <c r="O426" s="63"/>
      <c r="P426" s="63"/>
      <c r="Q426" s="63">
        <f t="shared" si="24"/>
        <v>3224.15</v>
      </c>
      <c r="R426" s="63">
        <f t="shared" si="25"/>
        <v>0</v>
      </c>
      <c r="S426" s="63">
        <f t="shared" si="26"/>
        <v>3224.15</v>
      </c>
    </row>
    <row r="427" spans="1:19" x14ac:dyDescent="0.2">
      <c r="A427" s="68">
        <v>133773</v>
      </c>
      <c r="B427" s="68" t="s">
        <v>6627</v>
      </c>
      <c r="C427" s="76">
        <v>285</v>
      </c>
      <c r="D427" s="72" t="s">
        <v>6695</v>
      </c>
      <c r="E427" s="72" t="s">
        <v>19</v>
      </c>
      <c r="F427" s="74">
        <v>42587</v>
      </c>
      <c r="G427" s="83">
        <f>161.1+763.6+558+243</f>
        <v>1725.7</v>
      </c>
      <c r="I427" s="63">
        <v>1700</v>
      </c>
      <c r="K427" s="133"/>
      <c r="L427" s="63"/>
      <c r="M427" s="63"/>
      <c r="N427" s="63"/>
      <c r="O427" s="63"/>
      <c r="P427" s="63"/>
      <c r="Q427" s="63">
        <f t="shared" si="24"/>
        <v>3425.7</v>
      </c>
      <c r="R427" s="63">
        <f t="shared" si="25"/>
        <v>0</v>
      </c>
      <c r="S427" s="63">
        <f t="shared" si="26"/>
        <v>3425.7</v>
      </c>
    </row>
    <row r="428" spans="1:19" x14ac:dyDescent="0.2">
      <c r="A428" s="68">
        <v>140879</v>
      </c>
      <c r="B428" s="68" t="s">
        <v>6628</v>
      </c>
      <c r="C428" s="76">
        <v>286</v>
      </c>
      <c r="D428" s="72" t="s">
        <v>6694</v>
      </c>
      <c r="E428" s="72" t="s">
        <v>19</v>
      </c>
      <c r="F428" s="74">
        <v>42587</v>
      </c>
      <c r="G428" s="83"/>
      <c r="K428" s="133"/>
      <c r="L428" s="63"/>
      <c r="M428" s="63"/>
      <c r="N428" s="63"/>
      <c r="O428" s="63"/>
      <c r="P428" s="63"/>
      <c r="Q428" s="63">
        <f t="shared" si="24"/>
        <v>0</v>
      </c>
      <c r="R428" s="63">
        <f t="shared" si="25"/>
        <v>0</v>
      </c>
      <c r="S428" s="63">
        <f t="shared" si="26"/>
        <v>0</v>
      </c>
    </row>
    <row r="429" spans="1:19" x14ac:dyDescent="0.2">
      <c r="A429" s="68">
        <v>124847</v>
      </c>
      <c r="B429" s="68" t="s">
        <v>6629</v>
      </c>
      <c r="C429" s="76">
        <v>287</v>
      </c>
      <c r="D429" s="72" t="s">
        <v>6693</v>
      </c>
      <c r="E429" s="72" t="s">
        <v>19</v>
      </c>
      <c r="F429" s="74">
        <v>42588</v>
      </c>
      <c r="G429" s="83">
        <f>214</f>
        <v>214</v>
      </c>
      <c r="K429" s="133"/>
      <c r="L429" s="63"/>
      <c r="M429" s="63"/>
      <c r="N429" s="63"/>
      <c r="O429" s="63"/>
      <c r="P429" s="63"/>
      <c r="Q429" s="63">
        <f t="shared" si="24"/>
        <v>214</v>
      </c>
      <c r="R429" s="63">
        <f t="shared" si="25"/>
        <v>0</v>
      </c>
      <c r="S429" s="63">
        <f t="shared" si="26"/>
        <v>214</v>
      </c>
    </row>
    <row r="430" spans="1:19" x14ac:dyDescent="0.2">
      <c r="A430" s="68">
        <v>137609</v>
      </c>
      <c r="B430" s="68" t="s">
        <v>6630</v>
      </c>
      <c r="C430" s="76">
        <v>288</v>
      </c>
      <c r="D430" s="72" t="s">
        <v>6692</v>
      </c>
      <c r="E430" s="72" t="s">
        <v>19</v>
      </c>
      <c r="F430" s="74">
        <v>42589</v>
      </c>
      <c r="G430" s="83"/>
      <c r="K430" s="133"/>
      <c r="L430" s="63"/>
      <c r="M430" s="63"/>
      <c r="N430" s="63"/>
      <c r="O430" s="63"/>
      <c r="P430" s="63"/>
      <c r="Q430" s="63">
        <f t="shared" si="24"/>
        <v>0</v>
      </c>
      <c r="R430" s="63">
        <f t="shared" si="25"/>
        <v>0</v>
      </c>
      <c r="S430" s="63">
        <f t="shared" si="26"/>
        <v>0</v>
      </c>
    </row>
    <row r="431" spans="1:19" x14ac:dyDescent="0.2">
      <c r="A431" s="68">
        <v>137609</v>
      </c>
      <c r="B431" s="68" t="s">
        <v>6630</v>
      </c>
      <c r="C431" s="76">
        <v>288</v>
      </c>
      <c r="D431" s="72" t="s">
        <v>6691</v>
      </c>
      <c r="E431" s="72" t="s">
        <v>19</v>
      </c>
      <c r="F431" s="74">
        <v>42589</v>
      </c>
      <c r="G431" s="83">
        <f>60.15</f>
        <v>60.15</v>
      </c>
      <c r="K431" s="133"/>
      <c r="L431" s="63"/>
      <c r="M431" s="63"/>
      <c r="N431" s="63"/>
      <c r="O431" s="63"/>
      <c r="P431" s="63"/>
      <c r="Q431" s="63">
        <f t="shared" si="24"/>
        <v>60.15</v>
      </c>
      <c r="R431" s="63">
        <f t="shared" si="25"/>
        <v>0</v>
      </c>
      <c r="S431" s="63">
        <f t="shared" si="26"/>
        <v>60.15</v>
      </c>
    </row>
    <row r="432" spans="1:19" x14ac:dyDescent="0.2">
      <c r="A432" s="68">
        <v>129948</v>
      </c>
      <c r="B432" s="68" t="s">
        <v>6631</v>
      </c>
      <c r="C432" s="76">
        <v>289</v>
      </c>
      <c r="D432" s="72" t="s">
        <v>6690</v>
      </c>
      <c r="E432" s="72" t="s">
        <v>19</v>
      </c>
      <c r="F432" s="74">
        <v>42590</v>
      </c>
      <c r="G432" s="83">
        <f>650+581.3+156.31+218.47+215.09+240.7+227.17+277.98+133.86+136.85+41.3</f>
        <v>2879.03</v>
      </c>
      <c r="I432" s="63">
        <f>1700+2250</f>
        <v>3950</v>
      </c>
      <c r="K432" s="133"/>
      <c r="L432" s="63"/>
      <c r="M432" s="63"/>
      <c r="N432" s="63"/>
      <c r="O432" s="63"/>
      <c r="P432" s="63"/>
      <c r="Q432" s="63">
        <f t="shared" si="24"/>
        <v>6829.0300000000007</v>
      </c>
      <c r="R432" s="63">
        <f t="shared" si="25"/>
        <v>0</v>
      </c>
      <c r="S432" s="63">
        <f t="shared" si="26"/>
        <v>6829.0300000000007</v>
      </c>
    </row>
    <row r="433" spans="1:19" x14ac:dyDescent="0.2">
      <c r="A433" s="68">
        <v>137677</v>
      </c>
      <c r="B433" s="68" t="s">
        <v>6632</v>
      </c>
      <c r="C433" s="76">
        <v>290</v>
      </c>
      <c r="D433" s="72" t="s">
        <v>6688</v>
      </c>
      <c r="E433" s="72" t="s">
        <v>19</v>
      </c>
      <c r="F433" s="74">
        <v>42591</v>
      </c>
      <c r="G433" s="83">
        <f>41.3+242.76+105.6</f>
        <v>389.65999999999997</v>
      </c>
      <c r="I433" s="63">
        <f>425</f>
        <v>425</v>
      </c>
      <c r="K433" s="133"/>
      <c r="L433" s="63"/>
      <c r="M433" s="63"/>
      <c r="N433" s="63"/>
      <c r="O433" s="63"/>
      <c r="P433" s="63"/>
      <c r="Q433" s="63">
        <f t="shared" si="24"/>
        <v>814.66</v>
      </c>
      <c r="R433" s="63">
        <f t="shared" si="25"/>
        <v>0</v>
      </c>
      <c r="S433" s="63">
        <f t="shared" si="26"/>
        <v>814.66</v>
      </c>
    </row>
    <row r="434" spans="1:19" x14ac:dyDescent="0.2">
      <c r="A434" s="68">
        <v>133033</v>
      </c>
      <c r="B434" s="68" t="s">
        <v>6633</v>
      </c>
      <c r="C434" s="76">
        <v>291</v>
      </c>
      <c r="D434" s="72" t="s">
        <v>6689</v>
      </c>
      <c r="E434" s="72" t="s">
        <v>19</v>
      </c>
      <c r="F434" s="74">
        <v>42592</v>
      </c>
      <c r="G434" s="83">
        <f>240+504.63</f>
        <v>744.63</v>
      </c>
      <c r="K434" s="133"/>
      <c r="L434" s="63"/>
      <c r="M434" s="63"/>
      <c r="N434" s="63"/>
      <c r="O434" s="63"/>
      <c r="P434" s="63"/>
      <c r="Q434" s="63">
        <f t="shared" si="24"/>
        <v>744.63</v>
      </c>
      <c r="R434" s="63">
        <f t="shared" si="25"/>
        <v>0</v>
      </c>
      <c r="S434" s="63">
        <f t="shared" si="26"/>
        <v>744.63</v>
      </c>
    </row>
    <row r="435" spans="1:19" x14ac:dyDescent="0.2">
      <c r="A435" s="68">
        <v>133033</v>
      </c>
      <c r="B435" s="68" t="s">
        <v>6633</v>
      </c>
      <c r="C435" s="76">
        <v>291</v>
      </c>
      <c r="D435" s="72" t="s">
        <v>6687</v>
      </c>
      <c r="E435" s="72" t="s">
        <v>19</v>
      </c>
      <c r="F435" s="74">
        <v>42592</v>
      </c>
      <c r="G435" s="83">
        <f>290.87</f>
        <v>290.87</v>
      </c>
      <c r="K435" s="133"/>
      <c r="L435" s="63"/>
      <c r="M435" s="63"/>
      <c r="N435" s="63"/>
      <c r="O435" s="63"/>
      <c r="P435" s="63"/>
      <c r="Q435" s="63">
        <f t="shared" si="24"/>
        <v>290.87</v>
      </c>
      <c r="R435" s="63">
        <f t="shared" si="25"/>
        <v>0</v>
      </c>
      <c r="S435" s="63">
        <f t="shared" si="26"/>
        <v>290.87</v>
      </c>
    </row>
    <row r="436" spans="1:19" x14ac:dyDescent="0.2">
      <c r="A436" s="68">
        <v>133033</v>
      </c>
      <c r="B436" s="68" t="s">
        <v>6633</v>
      </c>
      <c r="C436" s="76">
        <v>291</v>
      </c>
      <c r="D436" s="72" t="s">
        <v>6686</v>
      </c>
      <c r="E436" s="72" t="s">
        <v>19</v>
      </c>
      <c r="F436" s="74">
        <v>42592</v>
      </c>
      <c r="G436" s="83">
        <f>47.2</f>
        <v>47.2</v>
      </c>
      <c r="K436" s="133"/>
      <c r="L436" s="63"/>
      <c r="M436" s="63"/>
      <c r="N436" s="63"/>
      <c r="O436" s="63"/>
      <c r="P436" s="63"/>
      <c r="Q436" s="63">
        <f t="shared" si="24"/>
        <v>47.2</v>
      </c>
      <c r="R436" s="63">
        <f t="shared" si="25"/>
        <v>0</v>
      </c>
      <c r="S436" s="63">
        <f t="shared" si="26"/>
        <v>47.2</v>
      </c>
    </row>
    <row r="437" spans="1:19" x14ac:dyDescent="0.2">
      <c r="A437" s="68">
        <v>127155</v>
      </c>
      <c r="B437" s="68" t="s">
        <v>6634</v>
      </c>
      <c r="C437" s="76">
        <v>292</v>
      </c>
      <c r="D437" s="72" t="s">
        <v>6685</v>
      </c>
      <c r="E437" s="72" t="s">
        <v>19</v>
      </c>
      <c r="F437" s="74">
        <v>42593</v>
      </c>
      <c r="G437" s="83"/>
      <c r="K437" s="133"/>
      <c r="L437" s="63"/>
      <c r="M437" s="63">
        <v>3950</v>
      </c>
      <c r="N437" s="63"/>
      <c r="O437" s="63">
        <v>15800</v>
      </c>
      <c r="P437" s="63"/>
      <c r="Q437" s="63">
        <f t="shared" si="24"/>
        <v>19750</v>
      </c>
      <c r="R437" s="63">
        <f t="shared" si="25"/>
        <v>0</v>
      </c>
      <c r="S437" s="63">
        <f t="shared" si="26"/>
        <v>19750</v>
      </c>
    </row>
    <row r="438" spans="1:19" x14ac:dyDescent="0.2">
      <c r="A438" s="68">
        <v>136816</v>
      </c>
      <c r="B438" s="68" t="s">
        <v>6635</v>
      </c>
      <c r="C438" s="76">
        <v>293</v>
      </c>
      <c r="D438" s="72" t="s">
        <v>6684</v>
      </c>
      <c r="E438" s="72" t="s">
        <v>19</v>
      </c>
      <c r="F438" s="74">
        <v>42596</v>
      </c>
      <c r="G438" s="83">
        <f>111.7</f>
        <v>111.7</v>
      </c>
      <c r="K438" s="133"/>
      <c r="L438" s="63"/>
      <c r="M438" s="63"/>
      <c r="N438" s="63"/>
      <c r="O438" s="63"/>
      <c r="P438" s="63"/>
      <c r="Q438" s="63">
        <f t="shared" si="24"/>
        <v>111.7</v>
      </c>
      <c r="R438" s="63">
        <f t="shared" si="25"/>
        <v>0</v>
      </c>
      <c r="S438" s="63">
        <f t="shared" si="26"/>
        <v>111.7</v>
      </c>
    </row>
    <row r="439" spans="1:19" x14ac:dyDescent="0.2">
      <c r="A439" s="68">
        <v>128469</v>
      </c>
      <c r="B439" s="68" t="s">
        <v>6636</v>
      </c>
      <c r="C439" s="76">
        <v>294</v>
      </c>
      <c r="D439" s="72" t="s">
        <v>6683</v>
      </c>
      <c r="E439" s="72" t="s">
        <v>19</v>
      </c>
      <c r="F439" s="74">
        <v>42597</v>
      </c>
      <c r="G439" s="83">
        <f>97</f>
        <v>97</v>
      </c>
      <c r="K439" s="133"/>
      <c r="L439" s="63"/>
      <c r="M439" s="63"/>
      <c r="N439" s="63"/>
      <c r="O439" s="63"/>
      <c r="P439" s="63"/>
      <c r="Q439" s="63">
        <f t="shared" si="24"/>
        <v>97</v>
      </c>
      <c r="R439" s="63">
        <f t="shared" si="25"/>
        <v>0</v>
      </c>
      <c r="S439" s="63">
        <f t="shared" si="26"/>
        <v>97</v>
      </c>
    </row>
    <row r="440" spans="1:19" x14ac:dyDescent="0.2">
      <c r="A440" s="68">
        <v>126395</v>
      </c>
      <c r="B440" s="68" t="s">
        <v>6637</v>
      </c>
      <c r="C440" s="76">
        <v>295</v>
      </c>
      <c r="D440" s="72" t="s">
        <v>6682</v>
      </c>
      <c r="E440" s="72" t="s">
        <v>19</v>
      </c>
      <c r="F440" s="74">
        <v>42597</v>
      </c>
      <c r="G440" s="83">
        <f>75</f>
        <v>75</v>
      </c>
      <c r="K440" s="133"/>
      <c r="L440" s="63"/>
      <c r="M440" s="63"/>
      <c r="N440" s="63"/>
      <c r="O440" s="63"/>
      <c r="P440" s="63"/>
      <c r="Q440" s="63">
        <f t="shared" si="24"/>
        <v>75</v>
      </c>
      <c r="R440" s="63">
        <f t="shared" si="25"/>
        <v>0</v>
      </c>
      <c r="S440" s="63">
        <f t="shared" si="26"/>
        <v>75</v>
      </c>
    </row>
    <row r="441" spans="1:19" x14ac:dyDescent="0.2">
      <c r="A441" s="68">
        <v>126395</v>
      </c>
      <c r="B441" s="68" t="s">
        <v>6637</v>
      </c>
      <c r="C441" s="76">
        <v>295</v>
      </c>
      <c r="D441" s="72" t="s">
        <v>6681</v>
      </c>
      <c r="E441" s="72" t="s">
        <v>19</v>
      </c>
      <c r="F441" s="74">
        <v>42597</v>
      </c>
      <c r="G441" s="83">
        <f>49.9</f>
        <v>49.9</v>
      </c>
      <c r="K441" s="133"/>
      <c r="L441" s="63"/>
      <c r="M441" s="63"/>
      <c r="N441" s="63"/>
      <c r="O441" s="63"/>
      <c r="P441" s="63"/>
      <c r="Q441" s="63">
        <f t="shared" si="24"/>
        <v>49.9</v>
      </c>
      <c r="R441" s="63">
        <f t="shared" si="25"/>
        <v>0</v>
      </c>
      <c r="S441" s="63">
        <f t="shared" si="26"/>
        <v>49.9</v>
      </c>
    </row>
    <row r="442" spans="1:19" x14ac:dyDescent="0.2">
      <c r="A442" s="68">
        <v>132562</v>
      </c>
      <c r="B442" s="68" t="s">
        <v>6638</v>
      </c>
      <c r="C442" s="76">
        <v>296</v>
      </c>
      <c r="D442" s="72" t="s">
        <v>6680</v>
      </c>
      <c r="E442" s="72" t="s">
        <v>19</v>
      </c>
      <c r="F442" s="74">
        <v>42600</v>
      </c>
      <c r="G442" s="83">
        <f>107.6+240.7+132</f>
        <v>480.29999999999995</v>
      </c>
      <c r="K442" s="133"/>
      <c r="L442" s="63"/>
      <c r="M442" s="63"/>
      <c r="N442" s="63"/>
      <c r="O442" s="63"/>
      <c r="P442" s="63"/>
      <c r="Q442" s="63">
        <f t="shared" si="24"/>
        <v>480.29999999999995</v>
      </c>
      <c r="R442" s="63">
        <f t="shared" si="25"/>
        <v>0</v>
      </c>
      <c r="S442" s="63">
        <f t="shared" si="26"/>
        <v>480.29999999999995</v>
      </c>
    </row>
    <row r="443" spans="1:19" x14ac:dyDescent="0.2">
      <c r="A443" s="68">
        <v>124922</v>
      </c>
      <c r="B443" s="68" t="s">
        <v>6639</v>
      </c>
      <c r="C443" s="76">
        <v>297</v>
      </c>
      <c r="D443" s="72" t="s">
        <v>6679</v>
      </c>
      <c r="E443" s="72" t="s">
        <v>19</v>
      </c>
      <c r="F443" s="74">
        <v>42601</v>
      </c>
      <c r="G443" s="83">
        <f>225.4</f>
        <v>225.4</v>
      </c>
      <c r="K443" s="133"/>
      <c r="L443" s="63"/>
      <c r="M443" s="63"/>
      <c r="N443" s="63"/>
      <c r="O443" s="63"/>
      <c r="P443" s="63"/>
      <c r="Q443" s="63">
        <f t="shared" si="24"/>
        <v>225.4</v>
      </c>
      <c r="R443" s="63">
        <f t="shared" si="25"/>
        <v>0</v>
      </c>
      <c r="S443" s="63">
        <f t="shared" si="26"/>
        <v>225.4</v>
      </c>
    </row>
    <row r="444" spans="1:19" x14ac:dyDescent="0.2">
      <c r="A444" s="68">
        <v>124922</v>
      </c>
      <c r="B444" s="68" t="s">
        <v>6639</v>
      </c>
      <c r="C444" s="76">
        <v>297</v>
      </c>
      <c r="D444" s="72" t="s">
        <v>6678</v>
      </c>
      <c r="E444" s="72" t="s">
        <v>19</v>
      </c>
      <c r="F444" s="74">
        <v>42601</v>
      </c>
      <c r="G444" s="83">
        <f>136.7</f>
        <v>136.69999999999999</v>
      </c>
      <c r="K444" s="133"/>
      <c r="L444" s="63"/>
      <c r="M444" s="63"/>
      <c r="N444" s="63"/>
      <c r="O444" s="63"/>
      <c r="P444" s="63"/>
      <c r="Q444" s="63">
        <f t="shared" si="24"/>
        <v>136.69999999999999</v>
      </c>
      <c r="R444" s="63">
        <f t="shared" si="25"/>
        <v>0</v>
      </c>
      <c r="S444" s="63">
        <f t="shared" si="26"/>
        <v>136.69999999999999</v>
      </c>
    </row>
    <row r="445" spans="1:19" x14ac:dyDescent="0.2">
      <c r="A445" s="68">
        <v>124922</v>
      </c>
      <c r="B445" s="68" t="s">
        <v>6639</v>
      </c>
      <c r="C445" s="76">
        <v>297</v>
      </c>
      <c r="D445" s="72" t="s">
        <v>6677</v>
      </c>
      <c r="E445" s="72" t="s">
        <v>19</v>
      </c>
      <c r="F445" s="74">
        <v>42601</v>
      </c>
      <c r="G445" s="83">
        <f>145.01</f>
        <v>145.01</v>
      </c>
      <c r="K445" s="133"/>
      <c r="L445" s="63"/>
      <c r="M445" s="63"/>
      <c r="N445" s="63"/>
      <c r="O445" s="63"/>
      <c r="P445" s="63"/>
      <c r="Q445" s="63">
        <f t="shared" si="24"/>
        <v>145.01</v>
      </c>
      <c r="R445" s="63">
        <f t="shared" si="25"/>
        <v>0</v>
      </c>
      <c r="S445" s="63">
        <f t="shared" si="26"/>
        <v>145.01</v>
      </c>
    </row>
    <row r="446" spans="1:19" x14ac:dyDescent="0.2">
      <c r="A446" s="68">
        <v>141053</v>
      </c>
      <c r="B446" s="68" t="s">
        <v>6640</v>
      </c>
      <c r="C446" s="76">
        <v>298</v>
      </c>
      <c r="D446" s="72" t="s">
        <v>6676</v>
      </c>
      <c r="E446" s="72" t="s">
        <v>19</v>
      </c>
      <c r="F446" s="74">
        <v>42603</v>
      </c>
      <c r="G446" s="83">
        <f>213.5</f>
        <v>213.5</v>
      </c>
      <c r="K446" s="133"/>
      <c r="L446" s="63"/>
      <c r="M446" s="63"/>
      <c r="N446" s="63"/>
      <c r="O446" s="63"/>
      <c r="P446" s="63"/>
      <c r="Q446" s="63">
        <f t="shared" si="24"/>
        <v>213.5</v>
      </c>
      <c r="R446" s="63">
        <f t="shared" si="25"/>
        <v>0</v>
      </c>
      <c r="S446" s="63">
        <f t="shared" si="26"/>
        <v>213.5</v>
      </c>
    </row>
    <row r="447" spans="1:19" x14ac:dyDescent="0.2">
      <c r="A447" s="68">
        <v>141053</v>
      </c>
      <c r="B447" s="68" t="s">
        <v>6640</v>
      </c>
      <c r="C447" s="76">
        <v>298</v>
      </c>
      <c r="D447" s="72" t="s">
        <v>6675</v>
      </c>
      <c r="E447" s="72" t="s">
        <v>19</v>
      </c>
      <c r="F447" s="74">
        <v>42603</v>
      </c>
      <c r="G447" s="83">
        <f>171.2+290.86+187.5+140.25</f>
        <v>789.81</v>
      </c>
      <c r="I447" s="63">
        <v>935</v>
      </c>
      <c r="K447" s="133"/>
      <c r="L447" s="63"/>
      <c r="M447" s="63"/>
      <c r="N447" s="63"/>
      <c r="O447" s="63"/>
      <c r="P447" s="63"/>
      <c r="Q447" s="63">
        <f t="shared" si="24"/>
        <v>1724.81</v>
      </c>
      <c r="R447" s="63">
        <f t="shared" si="25"/>
        <v>0</v>
      </c>
      <c r="S447" s="63">
        <f t="shared" si="26"/>
        <v>1724.81</v>
      </c>
    </row>
    <row r="448" spans="1:19" x14ac:dyDescent="0.2">
      <c r="A448" s="68">
        <v>141853</v>
      </c>
      <c r="B448" s="68" t="s">
        <v>6641</v>
      </c>
      <c r="C448" s="76">
        <v>299</v>
      </c>
      <c r="D448" s="72" t="s">
        <v>6674</v>
      </c>
      <c r="E448" s="72" t="s">
        <v>19</v>
      </c>
      <c r="F448" s="74">
        <v>42603</v>
      </c>
      <c r="G448" s="83">
        <f>199.5</f>
        <v>199.5</v>
      </c>
      <c r="K448" s="133"/>
      <c r="L448" s="63"/>
      <c r="M448" s="63"/>
      <c r="N448" s="63"/>
      <c r="O448" s="63"/>
      <c r="P448" s="63"/>
      <c r="Q448" s="63">
        <f t="shared" si="24"/>
        <v>199.5</v>
      </c>
      <c r="R448" s="63">
        <f t="shared" si="25"/>
        <v>0</v>
      </c>
      <c r="S448" s="63">
        <f t="shared" si="26"/>
        <v>199.5</v>
      </c>
    </row>
    <row r="449" spans="1:19" x14ac:dyDescent="0.2">
      <c r="A449" s="68">
        <v>136814</v>
      </c>
      <c r="B449" s="68" t="s">
        <v>6642</v>
      </c>
      <c r="C449" s="76">
        <v>300</v>
      </c>
      <c r="D449" s="72" t="s">
        <v>6673</v>
      </c>
      <c r="E449" s="72" t="s">
        <v>19</v>
      </c>
      <c r="F449" s="74">
        <v>42604</v>
      </c>
      <c r="G449" s="83">
        <f>199.5+107</f>
        <v>306.5</v>
      </c>
      <c r="K449" s="133"/>
      <c r="L449" s="63"/>
      <c r="M449" s="63"/>
      <c r="N449" s="63"/>
      <c r="O449" s="63"/>
      <c r="P449" s="63"/>
      <c r="Q449" s="63">
        <f t="shared" si="24"/>
        <v>306.5</v>
      </c>
      <c r="R449" s="63">
        <f t="shared" si="25"/>
        <v>0</v>
      </c>
      <c r="S449" s="63">
        <f t="shared" si="26"/>
        <v>306.5</v>
      </c>
    </row>
    <row r="450" spans="1:19" x14ac:dyDescent="0.2">
      <c r="A450" s="68">
        <v>136814</v>
      </c>
      <c r="B450" s="68" t="s">
        <v>6642</v>
      </c>
      <c r="C450" s="76">
        <v>300</v>
      </c>
      <c r="D450" s="72" t="s">
        <v>6672</v>
      </c>
      <c r="E450" s="72" t="s">
        <v>19</v>
      </c>
      <c r="F450" s="74">
        <v>42604</v>
      </c>
      <c r="G450" s="83">
        <f>99</f>
        <v>99</v>
      </c>
      <c r="K450" s="133"/>
      <c r="L450" s="63"/>
      <c r="M450" s="63"/>
      <c r="N450" s="63"/>
      <c r="O450" s="63"/>
      <c r="P450" s="63"/>
      <c r="Q450" s="63">
        <f t="shared" si="24"/>
        <v>99</v>
      </c>
      <c r="R450" s="63">
        <f t="shared" si="25"/>
        <v>0</v>
      </c>
      <c r="S450" s="63">
        <f t="shared" si="26"/>
        <v>99</v>
      </c>
    </row>
    <row r="451" spans="1:19" x14ac:dyDescent="0.2">
      <c r="A451" s="68">
        <v>125224</v>
      </c>
      <c r="B451" s="68" t="s">
        <v>6643</v>
      </c>
      <c r="C451" s="76">
        <v>301</v>
      </c>
      <c r="D451" s="72" t="s">
        <v>6671</v>
      </c>
      <c r="E451" s="72" t="s">
        <v>19</v>
      </c>
      <c r="F451" s="74">
        <v>42604</v>
      </c>
      <c r="G451" s="83">
        <f>187.5+558+608+558+122+300.4+590</f>
        <v>2923.9</v>
      </c>
      <c r="I451" s="63">
        <v>2068.33</v>
      </c>
      <c r="K451" s="133"/>
      <c r="L451" s="63"/>
      <c r="M451" s="63"/>
      <c r="N451" s="63"/>
      <c r="O451" s="63"/>
      <c r="P451" s="63"/>
      <c r="Q451" s="63">
        <f t="shared" si="24"/>
        <v>4992.2299999999996</v>
      </c>
      <c r="R451" s="63">
        <f t="shared" si="25"/>
        <v>0</v>
      </c>
      <c r="S451" s="63">
        <f t="shared" si="26"/>
        <v>4992.2299999999996</v>
      </c>
    </row>
    <row r="452" spans="1:19" x14ac:dyDescent="0.2">
      <c r="A452" s="68">
        <v>130995</v>
      </c>
      <c r="B452" s="68" t="s">
        <v>6644</v>
      </c>
      <c r="C452" s="76">
        <v>302</v>
      </c>
      <c r="D452" s="72" t="s">
        <v>6670</v>
      </c>
      <c r="E452" s="72" t="s">
        <v>19</v>
      </c>
      <c r="F452" s="74">
        <v>42605</v>
      </c>
      <c r="G452" s="83">
        <f>87</f>
        <v>87</v>
      </c>
      <c r="K452" s="133"/>
      <c r="L452" s="63"/>
      <c r="M452" s="63"/>
      <c r="N452" s="63"/>
      <c r="O452" s="63"/>
      <c r="P452" s="63"/>
      <c r="Q452" s="63">
        <f t="shared" si="24"/>
        <v>87</v>
      </c>
      <c r="R452" s="63">
        <f t="shared" si="25"/>
        <v>0</v>
      </c>
      <c r="S452" s="63">
        <f t="shared" si="26"/>
        <v>87</v>
      </c>
    </row>
    <row r="453" spans="1:19" x14ac:dyDescent="0.2">
      <c r="A453" s="68">
        <v>130995</v>
      </c>
      <c r="B453" s="68" t="s">
        <v>6644</v>
      </c>
      <c r="C453" s="76">
        <v>302</v>
      </c>
      <c r="D453" s="72" t="s">
        <v>6669</v>
      </c>
      <c r="E453" s="72" t="s">
        <v>19</v>
      </c>
      <c r="F453" s="74">
        <v>42605</v>
      </c>
      <c r="G453" s="83">
        <f>103.6</f>
        <v>103.6</v>
      </c>
      <c r="K453" s="133"/>
      <c r="L453" s="63"/>
      <c r="M453" s="63"/>
      <c r="N453" s="63"/>
      <c r="O453" s="63"/>
      <c r="P453" s="63"/>
      <c r="Q453" s="63">
        <f t="shared" si="24"/>
        <v>103.6</v>
      </c>
      <c r="R453" s="63">
        <f t="shared" si="25"/>
        <v>0</v>
      </c>
      <c r="S453" s="63">
        <f t="shared" si="26"/>
        <v>103.6</v>
      </c>
    </row>
    <row r="454" spans="1:19" x14ac:dyDescent="0.2">
      <c r="A454" s="68">
        <v>130995</v>
      </c>
      <c r="B454" s="68" t="s">
        <v>6644</v>
      </c>
      <c r="C454" s="76">
        <v>302</v>
      </c>
      <c r="D454" s="72" t="s">
        <v>6668</v>
      </c>
      <c r="E454" s="72" t="s">
        <v>19</v>
      </c>
      <c r="F454" s="74">
        <v>42605</v>
      </c>
      <c r="G454" s="83">
        <f>121.9</f>
        <v>121.9</v>
      </c>
      <c r="K454" s="133"/>
      <c r="L454" s="63"/>
      <c r="M454" s="63"/>
      <c r="N454" s="63"/>
      <c r="O454" s="63"/>
      <c r="P454" s="63"/>
      <c r="Q454" s="63">
        <f t="shared" si="24"/>
        <v>121.9</v>
      </c>
      <c r="R454" s="63">
        <f t="shared" si="25"/>
        <v>0</v>
      </c>
      <c r="S454" s="63">
        <f t="shared" si="26"/>
        <v>121.9</v>
      </c>
    </row>
    <row r="455" spans="1:19" x14ac:dyDescent="0.2">
      <c r="A455" s="68">
        <v>130995</v>
      </c>
      <c r="B455" s="68" t="s">
        <v>6644</v>
      </c>
      <c r="C455" s="76">
        <v>302</v>
      </c>
      <c r="D455" s="72" t="s">
        <v>6667</v>
      </c>
      <c r="E455" s="72" t="s">
        <v>19</v>
      </c>
      <c r="F455" s="74">
        <v>42605</v>
      </c>
      <c r="G455" s="83">
        <v>130.6</v>
      </c>
      <c r="K455" s="133"/>
      <c r="L455" s="63"/>
      <c r="M455" s="63"/>
      <c r="N455" s="63"/>
      <c r="O455" s="63"/>
      <c r="P455" s="63"/>
      <c r="Q455" s="63">
        <f t="shared" si="24"/>
        <v>130.6</v>
      </c>
      <c r="R455" s="63">
        <f t="shared" si="25"/>
        <v>0</v>
      </c>
      <c r="S455" s="63">
        <f t="shared" si="26"/>
        <v>130.6</v>
      </c>
    </row>
    <row r="456" spans="1:19" x14ac:dyDescent="0.2">
      <c r="A456" s="68">
        <v>130995</v>
      </c>
      <c r="B456" s="68" t="s">
        <v>6644</v>
      </c>
      <c r="C456" s="76">
        <v>302</v>
      </c>
      <c r="D456" s="72" t="s">
        <v>6666</v>
      </c>
      <c r="E456" s="72" t="s">
        <v>19</v>
      </c>
      <c r="F456" s="74">
        <v>42605</v>
      </c>
      <c r="G456" s="83">
        <f>40.9</f>
        <v>40.9</v>
      </c>
      <c r="K456" s="133"/>
      <c r="L456" s="63"/>
      <c r="M456" s="63"/>
      <c r="N456" s="63"/>
      <c r="O456" s="63"/>
      <c r="P456" s="63"/>
      <c r="Q456" s="63">
        <f t="shared" si="24"/>
        <v>40.9</v>
      </c>
      <c r="R456" s="63">
        <f t="shared" si="25"/>
        <v>0</v>
      </c>
      <c r="S456" s="63">
        <f t="shared" si="26"/>
        <v>40.9</v>
      </c>
    </row>
    <row r="457" spans="1:19" x14ac:dyDescent="0.2">
      <c r="A457" s="68">
        <v>130995</v>
      </c>
      <c r="B457" s="68" t="s">
        <v>6644</v>
      </c>
      <c r="C457" s="76">
        <v>302</v>
      </c>
      <c r="D457" s="72" t="s">
        <v>6665</v>
      </c>
      <c r="E457" s="72" t="s">
        <v>19</v>
      </c>
      <c r="F457" s="74">
        <v>42605</v>
      </c>
      <c r="G457" s="83">
        <f>99.9</f>
        <v>99.9</v>
      </c>
      <c r="K457" s="133"/>
      <c r="L457" s="63"/>
      <c r="M457" s="63"/>
      <c r="N457" s="63"/>
      <c r="O457" s="63"/>
      <c r="P457" s="63"/>
      <c r="Q457" s="63">
        <f t="shared" si="24"/>
        <v>99.9</v>
      </c>
      <c r="R457" s="63">
        <f t="shared" si="25"/>
        <v>0</v>
      </c>
      <c r="S457" s="63">
        <f t="shared" si="26"/>
        <v>99.9</v>
      </c>
    </row>
    <row r="458" spans="1:19" x14ac:dyDescent="0.2">
      <c r="A458" s="68">
        <v>137091</v>
      </c>
      <c r="B458" s="68" t="s">
        <v>6645</v>
      </c>
      <c r="C458" s="76">
        <v>303</v>
      </c>
      <c r="D458" s="72" t="s">
        <v>6664</v>
      </c>
      <c r="E458" s="72" t="s">
        <v>19</v>
      </c>
      <c r="F458" s="74">
        <v>42605</v>
      </c>
      <c r="G458" s="83">
        <f>360.83+190.61+170+219.19+161.52+41.3+190.61+186.16+197.3+261.3+41.3+205.1+236.76+199.57+316.47+336.03+210.43+558+189.45+261.3+41.3+71.65+304.08+437.3+41.3+560+500+352+1582.1+4300.01+1510+910+800+2247.46</f>
        <v>18190.43</v>
      </c>
      <c r="I458" s="63">
        <f>566.67+708.33+425+821.67+566.67+861.66</f>
        <v>3950</v>
      </c>
      <c r="K458" s="133"/>
      <c r="L458" s="63"/>
      <c r="M458" s="63"/>
      <c r="N458" s="63"/>
      <c r="O458" s="63"/>
      <c r="P458" s="63"/>
      <c r="Q458" s="63">
        <f t="shared" si="24"/>
        <v>22140.43</v>
      </c>
      <c r="R458" s="63">
        <f t="shared" si="25"/>
        <v>0</v>
      </c>
      <c r="S458" s="63">
        <f t="shared" si="26"/>
        <v>22140.43</v>
      </c>
    </row>
    <row r="459" spans="1:19" x14ac:dyDescent="0.2">
      <c r="A459" s="68">
        <v>129163</v>
      </c>
      <c r="B459" s="68" t="s">
        <v>6646</v>
      </c>
      <c r="C459" s="76">
        <v>304</v>
      </c>
      <c r="D459" s="72" t="s">
        <v>6663</v>
      </c>
      <c r="E459" s="72" t="s">
        <v>19</v>
      </c>
      <c r="F459" s="74">
        <v>42605</v>
      </c>
      <c r="G459" s="83">
        <f>222.17</f>
        <v>222.17</v>
      </c>
      <c r="K459" s="133"/>
      <c r="L459" s="63"/>
      <c r="M459" s="63"/>
      <c r="N459" s="63"/>
      <c r="O459" s="63"/>
      <c r="P459" s="63"/>
      <c r="Q459" s="63">
        <f t="shared" si="24"/>
        <v>222.17</v>
      </c>
      <c r="R459" s="63">
        <f t="shared" si="25"/>
        <v>0</v>
      </c>
      <c r="S459" s="63">
        <f t="shared" si="26"/>
        <v>222.17</v>
      </c>
    </row>
    <row r="460" spans="1:19" x14ac:dyDescent="0.2">
      <c r="A460" s="68">
        <v>140425</v>
      </c>
      <c r="B460" s="68" t="s">
        <v>6647</v>
      </c>
      <c r="C460" s="76">
        <v>305</v>
      </c>
      <c r="D460" s="72" t="s">
        <v>6879</v>
      </c>
      <c r="E460" s="72" t="s">
        <v>19</v>
      </c>
      <c r="F460" s="74">
        <v>42606</v>
      </c>
      <c r="G460" s="83">
        <f>163.14</f>
        <v>163.13999999999999</v>
      </c>
      <c r="K460" s="133"/>
      <c r="L460" s="63"/>
      <c r="M460" s="63"/>
      <c r="N460" s="63"/>
      <c r="O460" s="63"/>
      <c r="P460" s="63"/>
      <c r="Q460" s="63">
        <f t="shared" si="24"/>
        <v>163.13999999999999</v>
      </c>
      <c r="R460" s="63">
        <f t="shared" si="25"/>
        <v>0</v>
      </c>
      <c r="S460" s="63">
        <f t="shared" si="26"/>
        <v>163.13999999999999</v>
      </c>
    </row>
    <row r="461" spans="1:19" x14ac:dyDescent="0.2">
      <c r="A461" s="68">
        <v>142639</v>
      </c>
      <c r="B461" s="68" t="s">
        <v>6661</v>
      </c>
      <c r="C461" s="76">
        <v>306</v>
      </c>
      <c r="D461" s="72" t="s">
        <v>6662</v>
      </c>
      <c r="E461" s="72" t="s">
        <v>19</v>
      </c>
      <c r="F461" s="74">
        <v>42608</v>
      </c>
      <c r="G461" s="83">
        <f>75</f>
        <v>75</v>
      </c>
      <c r="K461" s="133"/>
      <c r="L461" s="63"/>
      <c r="M461" s="63"/>
      <c r="N461" s="63"/>
      <c r="O461" s="63"/>
      <c r="P461" s="63"/>
      <c r="Q461" s="63">
        <f t="shared" si="24"/>
        <v>75</v>
      </c>
      <c r="R461" s="63">
        <f t="shared" si="25"/>
        <v>0</v>
      </c>
      <c r="S461" s="63">
        <f t="shared" si="26"/>
        <v>75</v>
      </c>
    </row>
    <row r="462" spans="1:19" x14ac:dyDescent="0.2">
      <c r="A462" s="68">
        <v>137373</v>
      </c>
      <c r="B462" s="68" t="s">
        <v>6659</v>
      </c>
      <c r="C462" s="76">
        <v>307</v>
      </c>
      <c r="D462" s="72" t="s">
        <v>6660</v>
      </c>
      <c r="E462" s="72" t="s">
        <v>19</v>
      </c>
      <c r="F462" s="74">
        <v>42608</v>
      </c>
      <c r="G462" s="83">
        <f>169.8+59+313.71+50</f>
        <v>592.51</v>
      </c>
      <c r="I462" s="63">
        <f>2550</f>
        <v>2550</v>
      </c>
      <c r="K462" s="133"/>
      <c r="L462" s="63"/>
      <c r="M462" s="63"/>
      <c r="N462" s="63"/>
      <c r="O462" s="63"/>
      <c r="P462" s="63"/>
      <c r="Q462" s="63">
        <f t="shared" si="24"/>
        <v>3142.51</v>
      </c>
      <c r="R462" s="63">
        <f t="shared" si="25"/>
        <v>0</v>
      </c>
      <c r="S462" s="63">
        <f t="shared" si="26"/>
        <v>3142.51</v>
      </c>
    </row>
    <row r="463" spans="1:19" x14ac:dyDescent="0.2">
      <c r="A463" s="68">
        <v>140056</v>
      </c>
      <c r="B463" s="68" t="s">
        <v>6658</v>
      </c>
      <c r="C463" s="76">
        <v>308</v>
      </c>
      <c r="D463" s="72" t="s">
        <v>7497</v>
      </c>
      <c r="E463" s="72" t="s">
        <v>19</v>
      </c>
      <c r="F463" s="74">
        <v>42609</v>
      </c>
      <c r="G463" s="83">
        <f>1644+238</f>
        <v>1882</v>
      </c>
      <c r="K463" s="133"/>
      <c r="L463" s="63"/>
      <c r="M463" s="63">
        <v>3950</v>
      </c>
      <c r="N463" s="63"/>
      <c r="O463" s="63">
        <v>15800</v>
      </c>
      <c r="P463" s="63"/>
      <c r="Q463" s="63">
        <f t="shared" si="24"/>
        <v>21632</v>
      </c>
      <c r="R463" s="63">
        <f t="shared" si="25"/>
        <v>0</v>
      </c>
      <c r="S463" s="63">
        <f t="shared" si="26"/>
        <v>21632</v>
      </c>
    </row>
    <row r="464" spans="1:19" x14ac:dyDescent="0.2">
      <c r="A464" s="68">
        <v>133454</v>
      </c>
      <c r="B464" s="68" t="s">
        <v>6656</v>
      </c>
      <c r="C464" s="76">
        <v>309</v>
      </c>
      <c r="D464" s="72" t="s">
        <v>6657</v>
      </c>
      <c r="E464" s="72" t="s">
        <v>19</v>
      </c>
      <c r="F464" s="74">
        <v>42610</v>
      </c>
      <c r="G464" s="83">
        <f>238+41.3+909.2+238+174.25</f>
        <v>1600.75</v>
      </c>
      <c r="I464" s="63">
        <v>850</v>
      </c>
      <c r="K464" s="133"/>
      <c r="L464" s="63"/>
      <c r="M464" s="63"/>
      <c r="N464" s="63"/>
      <c r="O464" s="63"/>
      <c r="P464" s="63"/>
      <c r="Q464" s="63">
        <f t="shared" si="24"/>
        <v>2450.75</v>
      </c>
      <c r="R464" s="63">
        <f t="shared" si="25"/>
        <v>0</v>
      </c>
      <c r="S464" s="63">
        <f t="shared" si="26"/>
        <v>2450.75</v>
      </c>
    </row>
    <row r="465" spans="1:19" x14ac:dyDescent="0.2">
      <c r="A465" s="68">
        <v>138451</v>
      </c>
      <c r="B465" s="68" t="s">
        <v>6654</v>
      </c>
      <c r="C465" s="76">
        <v>310</v>
      </c>
      <c r="D465" s="72" t="s">
        <v>6655</v>
      </c>
      <c r="E465" s="72" t="s">
        <v>19</v>
      </c>
      <c r="F465" s="74">
        <v>42610</v>
      </c>
      <c r="G465" s="83">
        <f>566.11+5150+4749.6+190</f>
        <v>10655.71</v>
      </c>
      <c r="I465" s="63">
        <v>3400</v>
      </c>
      <c r="K465" s="133"/>
      <c r="L465" s="63"/>
      <c r="M465" s="63"/>
      <c r="N465" s="63"/>
      <c r="O465" s="63"/>
      <c r="P465" s="63"/>
      <c r="Q465" s="63">
        <f t="shared" si="24"/>
        <v>14055.71</v>
      </c>
      <c r="R465" s="63">
        <f t="shared" si="25"/>
        <v>0</v>
      </c>
      <c r="S465" s="63">
        <f t="shared" si="26"/>
        <v>14055.71</v>
      </c>
    </row>
    <row r="466" spans="1:19" x14ac:dyDescent="0.2">
      <c r="A466" s="68">
        <v>127843</v>
      </c>
      <c r="B466" s="68" t="s">
        <v>6652</v>
      </c>
      <c r="C466" s="76">
        <v>311</v>
      </c>
      <c r="D466" s="72" t="s">
        <v>6653</v>
      </c>
      <c r="E466" s="72" t="s">
        <v>19</v>
      </c>
      <c r="F466" s="74">
        <v>42611</v>
      </c>
      <c r="G466" s="83">
        <f>163.14</f>
        <v>163.13999999999999</v>
      </c>
      <c r="K466" s="133"/>
      <c r="L466" s="63"/>
      <c r="M466" s="63"/>
      <c r="N466" s="63"/>
      <c r="O466" s="63"/>
      <c r="P466" s="63"/>
      <c r="Q466" s="63">
        <f t="shared" si="24"/>
        <v>163.13999999999999</v>
      </c>
      <c r="R466" s="63">
        <f t="shared" si="25"/>
        <v>0</v>
      </c>
      <c r="S466" s="63">
        <f t="shared" si="26"/>
        <v>163.13999999999999</v>
      </c>
    </row>
    <row r="467" spans="1:19" x14ac:dyDescent="0.2">
      <c r="A467" s="68">
        <v>137282</v>
      </c>
      <c r="B467" s="68" t="s">
        <v>6650</v>
      </c>
      <c r="C467" s="76">
        <v>312</v>
      </c>
      <c r="D467" s="72" t="s">
        <v>6651</v>
      </c>
      <c r="E467" s="72" t="s">
        <v>19</v>
      </c>
      <c r="F467" s="74">
        <v>42611</v>
      </c>
      <c r="G467" s="83"/>
      <c r="K467" s="133"/>
      <c r="L467" s="63"/>
      <c r="M467" s="63"/>
      <c r="N467" s="63"/>
      <c r="O467" s="63"/>
      <c r="P467" s="63"/>
      <c r="Q467" s="63">
        <f t="shared" si="24"/>
        <v>0</v>
      </c>
      <c r="R467" s="63">
        <f t="shared" si="25"/>
        <v>0</v>
      </c>
      <c r="S467" s="63">
        <f t="shared" si="26"/>
        <v>0</v>
      </c>
    </row>
    <row r="468" spans="1:19" x14ac:dyDescent="0.2">
      <c r="A468" s="68">
        <v>136266</v>
      </c>
      <c r="B468" s="68" t="s">
        <v>6648</v>
      </c>
      <c r="C468" s="76">
        <v>313</v>
      </c>
      <c r="D468" s="72" t="s">
        <v>6649</v>
      </c>
      <c r="E468" s="72" t="s">
        <v>19</v>
      </c>
      <c r="F468" s="74">
        <v>42613</v>
      </c>
      <c r="G468" s="83">
        <f>145</f>
        <v>145</v>
      </c>
      <c r="K468" s="133"/>
      <c r="L468" s="63"/>
      <c r="M468" s="63"/>
      <c r="N468" s="63"/>
      <c r="O468" s="63"/>
      <c r="P468" s="63"/>
      <c r="Q468" s="63">
        <f t="shared" si="24"/>
        <v>145</v>
      </c>
      <c r="R468" s="63">
        <f t="shared" si="25"/>
        <v>0</v>
      </c>
      <c r="S468" s="63">
        <f t="shared" si="26"/>
        <v>145</v>
      </c>
    </row>
    <row r="469" spans="1:19" x14ac:dyDescent="0.2">
      <c r="A469" s="68">
        <v>129284</v>
      </c>
      <c r="B469" s="68" t="s">
        <v>6707</v>
      </c>
      <c r="C469" s="76">
        <v>314</v>
      </c>
      <c r="D469" s="72" t="s">
        <v>6708</v>
      </c>
      <c r="E469" s="72" t="s">
        <v>19</v>
      </c>
      <c r="F469" s="74">
        <v>42614</v>
      </c>
      <c r="G469" s="83">
        <f>183.3</f>
        <v>183.3</v>
      </c>
      <c r="K469" s="133"/>
      <c r="L469" s="63"/>
      <c r="M469" s="63"/>
      <c r="N469" s="63"/>
      <c r="O469" s="63"/>
      <c r="P469" s="63"/>
      <c r="Q469" s="63">
        <f t="shared" si="24"/>
        <v>183.3</v>
      </c>
      <c r="R469" s="63">
        <f t="shared" si="25"/>
        <v>0</v>
      </c>
      <c r="S469" s="63">
        <f t="shared" si="26"/>
        <v>183.3</v>
      </c>
    </row>
    <row r="470" spans="1:19" x14ac:dyDescent="0.2">
      <c r="A470" s="68">
        <v>134464</v>
      </c>
      <c r="B470" s="68" t="s">
        <v>6734</v>
      </c>
      <c r="C470" s="76">
        <v>315</v>
      </c>
      <c r="D470" s="72" t="s">
        <v>6709</v>
      </c>
      <c r="E470" s="72" t="s">
        <v>19</v>
      </c>
      <c r="F470" s="74">
        <v>42615</v>
      </c>
      <c r="G470" s="83">
        <f>41.3+4027.63+244.4+103.03+191.13+41.3+174.7+41.3+495.6</f>
        <v>5360.39</v>
      </c>
      <c r="I470" s="63">
        <v>850</v>
      </c>
      <c r="K470" s="133"/>
      <c r="L470" s="63"/>
      <c r="M470" s="63"/>
      <c r="N470" s="63"/>
      <c r="O470" s="63"/>
      <c r="P470" s="63"/>
      <c r="Q470" s="63">
        <f t="shared" si="24"/>
        <v>6210.39</v>
      </c>
      <c r="R470" s="63">
        <f t="shared" si="25"/>
        <v>0</v>
      </c>
      <c r="S470" s="63">
        <f t="shared" si="26"/>
        <v>6210.39</v>
      </c>
    </row>
    <row r="471" spans="1:19" x14ac:dyDescent="0.2">
      <c r="A471" s="68">
        <v>135286</v>
      </c>
      <c r="B471" s="68" t="s">
        <v>5181</v>
      </c>
      <c r="C471" s="76">
        <v>316</v>
      </c>
      <c r="D471" s="72" t="s">
        <v>6710</v>
      </c>
      <c r="E471" s="72" t="s">
        <v>19</v>
      </c>
      <c r="F471" s="74">
        <v>42615</v>
      </c>
      <c r="G471" s="83">
        <f>97.46+47.2</f>
        <v>144.66</v>
      </c>
      <c r="K471" s="133"/>
      <c r="L471" s="63"/>
      <c r="M471" s="63"/>
      <c r="N471" s="63"/>
      <c r="O471" s="63"/>
      <c r="P471" s="63"/>
      <c r="Q471" s="63">
        <f t="shared" si="24"/>
        <v>144.66</v>
      </c>
      <c r="R471" s="63">
        <f t="shared" si="25"/>
        <v>0</v>
      </c>
      <c r="S471" s="63">
        <f t="shared" si="26"/>
        <v>144.66</v>
      </c>
    </row>
    <row r="472" spans="1:19" x14ac:dyDescent="0.2">
      <c r="A472" s="68">
        <v>142317</v>
      </c>
      <c r="B472" s="68" t="s">
        <v>6735</v>
      </c>
      <c r="C472" s="76">
        <v>317</v>
      </c>
      <c r="D472" s="72" t="s">
        <v>6711</v>
      </c>
      <c r="E472" s="72" t="s">
        <v>19</v>
      </c>
      <c r="F472" s="74">
        <v>42615</v>
      </c>
      <c r="G472" s="83">
        <f>285.13</f>
        <v>285.13</v>
      </c>
      <c r="K472" s="133"/>
      <c r="L472" s="63"/>
      <c r="M472" s="63"/>
      <c r="N472" s="63"/>
      <c r="O472" s="63"/>
      <c r="P472" s="63"/>
      <c r="Q472" s="63">
        <f t="shared" si="24"/>
        <v>285.13</v>
      </c>
      <c r="R472" s="63">
        <f t="shared" si="25"/>
        <v>0</v>
      </c>
      <c r="S472" s="63">
        <f t="shared" si="26"/>
        <v>285.13</v>
      </c>
    </row>
    <row r="473" spans="1:19" x14ac:dyDescent="0.2">
      <c r="A473" s="68">
        <v>141914</v>
      </c>
      <c r="B473" s="68" t="s">
        <v>6736</v>
      </c>
      <c r="C473" s="76">
        <v>318</v>
      </c>
      <c r="D473" s="72" t="s">
        <v>6712</v>
      </c>
      <c r="E473" s="72" t="s">
        <v>19</v>
      </c>
      <c r="F473" s="74">
        <v>42616</v>
      </c>
      <c r="G473" s="83">
        <f>230.11</f>
        <v>230.11</v>
      </c>
      <c r="K473" s="133"/>
      <c r="L473" s="63"/>
      <c r="M473" s="63"/>
      <c r="N473" s="63"/>
      <c r="O473" s="63"/>
      <c r="P473" s="63"/>
      <c r="Q473" s="63">
        <f t="shared" si="24"/>
        <v>230.11</v>
      </c>
      <c r="R473" s="63">
        <f t="shared" si="25"/>
        <v>0</v>
      </c>
      <c r="S473" s="63">
        <f t="shared" si="26"/>
        <v>230.11</v>
      </c>
    </row>
    <row r="474" spans="1:19" x14ac:dyDescent="0.2">
      <c r="A474" s="68">
        <v>128471</v>
      </c>
      <c r="B474" s="68" t="s">
        <v>6737</v>
      </c>
      <c r="C474" s="76">
        <v>319</v>
      </c>
      <c r="D474" s="72" t="s">
        <v>6713</v>
      </c>
      <c r="E474" s="72" t="s">
        <v>19</v>
      </c>
      <c r="F474" s="74">
        <v>42616</v>
      </c>
      <c r="G474" s="83">
        <f>115</f>
        <v>115</v>
      </c>
      <c r="K474" s="133"/>
      <c r="L474" s="63"/>
      <c r="M474" s="63"/>
      <c r="N474" s="63"/>
      <c r="O474" s="63"/>
      <c r="P474" s="63"/>
      <c r="Q474" s="63">
        <f t="shared" si="24"/>
        <v>115</v>
      </c>
      <c r="R474" s="63">
        <f t="shared" si="25"/>
        <v>0</v>
      </c>
      <c r="S474" s="63">
        <f t="shared" si="26"/>
        <v>115</v>
      </c>
    </row>
    <row r="475" spans="1:19" x14ac:dyDescent="0.2">
      <c r="A475" s="68">
        <v>131613</v>
      </c>
      <c r="B475" s="68" t="s">
        <v>6738</v>
      </c>
      <c r="C475" s="76">
        <v>320</v>
      </c>
      <c r="D475" s="72" t="s">
        <v>6714</v>
      </c>
      <c r="E475" s="72" t="s">
        <v>19</v>
      </c>
      <c r="F475" s="74">
        <v>42617</v>
      </c>
      <c r="G475" s="83">
        <f>83.6</f>
        <v>83.6</v>
      </c>
      <c r="K475" s="133"/>
      <c r="L475" s="63"/>
      <c r="M475" s="63"/>
      <c r="N475" s="63"/>
      <c r="O475" s="63"/>
      <c r="P475" s="63"/>
      <c r="Q475" s="63">
        <f t="shared" si="24"/>
        <v>83.6</v>
      </c>
      <c r="R475" s="63">
        <f t="shared" si="25"/>
        <v>0</v>
      </c>
      <c r="S475" s="63">
        <f t="shared" si="26"/>
        <v>83.6</v>
      </c>
    </row>
    <row r="476" spans="1:19" x14ac:dyDescent="0.2">
      <c r="A476" s="68">
        <v>138143</v>
      </c>
      <c r="B476" s="68" t="s">
        <v>6739</v>
      </c>
      <c r="C476" s="76">
        <v>321</v>
      </c>
      <c r="D476" s="72" t="s">
        <v>6715</v>
      </c>
      <c r="E476" s="72" t="s">
        <v>19</v>
      </c>
      <c r="F476" s="74">
        <v>42618</v>
      </c>
      <c r="G476" s="83">
        <f>4417.7+209</f>
        <v>4626.7</v>
      </c>
      <c r="I476" s="63">
        <f>2550+850</f>
        <v>3400</v>
      </c>
      <c r="K476" s="133"/>
      <c r="L476" s="63"/>
      <c r="M476" s="63"/>
      <c r="N476" s="63"/>
      <c r="O476" s="63"/>
      <c r="P476" s="63"/>
      <c r="Q476" s="63">
        <f t="shared" si="24"/>
        <v>8026.7</v>
      </c>
      <c r="R476" s="63">
        <f t="shared" si="25"/>
        <v>0</v>
      </c>
      <c r="S476" s="63">
        <f t="shared" si="26"/>
        <v>8026.7</v>
      </c>
    </row>
    <row r="477" spans="1:19" x14ac:dyDescent="0.2">
      <c r="A477" s="68">
        <v>138143</v>
      </c>
      <c r="B477" s="68" t="s">
        <v>6739</v>
      </c>
      <c r="C477" s="76">
        <v>321</v>
      </c>
      <c r="D477" s="72" t="s">
        <v>6716</v>
      </c>
      <c r="E477" s="72" t="s">
        <v>19</v>
      </c>
      <c r="F477" s="74">
        <v>42618</v>
      </c>
      <c r="G477" s="83">
        <f>10350+2174.1+5819.4+438.4+968</f>
        <v>19749.900000000001</v>
      </c>
      <c r="I477" s="63">
        <f>3400+550</f>
        <v>3950</v>
      </c>
      <c r="K477" s="133"/>
      <c r="L477" s="63"/>
      <c r="M477" s="63"/>
      <c r="N477" s="63"/>
      <c r="O477" s="63"/>
      <c r="P477" s="63"/>
      <c r="Q477" s="63">
        <f t="shared" si="24"/>
        <v>23699.9</v>
      </c>
      <c r="R477" s="63">
        <f t="shared" si="25"/>
        <v>0</v>
      </c>
      <c r="S477" s="63">
        <f t="shared" si="26"/>
        <v>23699.9</v>
      </c>
    </row>
    <row r="478" spans="1:19" x14ac:dyDescent="0.2">
      <c r="A478" s="68">
        <v>131464</v>
      </c>
      <c r="B478" s="68" t="s">
        <v>6740</v>
      </c>
      <c r="C478" s="76">
        <v>322</v>
      </c>
      <c r="D478" s="72" t="s">
        <v>6717</v>
      </c>
      <c r="E478" s="72" t="s">
        <v>19</v>
      </c>
      <c r="F478" s="74">
        <v>42622</v>
      </c>
      <c r="G478" s="83">
        <f>41.3+41.3+41.3+480</f>
        <v>603.9</v>
      </c>
      <c r="K478" s="133"/>
      <c r="L478" s="63"/>
      <c r="M478" s="63"/>
      <c r="N478" s="63"/>
      <c r="O478" s="63"/>
      <c r="P478" s="63"/>
      <c r="Q478" s="63">
        <f t="shared" si="24"/>
        <v>603.9</v>
      </c>
      <c r="R478" s="63">
        <f t="shared" si="25"/>
        <v>0</v>
      </c>
      <c r="S478" s="63">
        <f t="shared" si="26"/>
        <v>603.9</v>
      </c>
    </row>
    <row r="479" spans="1:19" x14ac:dyDescent="0.2">
      <c r="A479" s="68">
        <v>131464</v>
      </c>
      <c r="B479" s="68" t="s">
        <v>6740</v>
      </c>
      <c r="C479" s="76">
        <v>322</v>
      </c>
      <c r="D479" s="72" t="s">
        <v>6718</v>
      </c>
      <c r="E479" s="72" t="s">
        <v>19</v>
      </c>
      <c r="F479" s="74">
        <v>42622</v>
      </c>
      <c r="G479" s="83">
        <f>41.3+262.72+220.49+239.19</f>
        <v>763.7</v>
      </c>
      <c r="K479" s="133"/>
      <c r="L479" s="63"/>
      <c r="M479" s="63"/>
      <c r="N479" s="63"/>
      <c r="O479" s="63"/>
      <c r="P479" s="63"/>
      <c r="Q479" s="63">
        <f t="shared" ref="Q479:Q542" si="27">+G479+I479+K479+M479+O479</f>
        <v>763.7</v>
      </c>
      <c r="R479" s="63">
        <f t="shared" ref="R479:R542" si="28">+H479+J479+L479+N479+P479</f>
        <v>0</v>
      </c>
      <c r="S479" s="63">
        <f t="shared" ref="S479:S542" si="29">+Q479+R479</f>
        <v>763.7</v>
      </c>
    </row>
    <row r="480" spans="1:19" x14ac:dyDescent="0.2">
      <c r="A480" s="68">
        <v>131464</v>
      </c>
      <c r="B480" s="68" t="s">
        <v>6740</v>
      </c>
      <c r="C480" s="76">
        <v>322</v>
      </c>
      <c r="D480" s="72" t="s">
        <v>6719</v>
      </c>
      <c r="E480" s="72" t="s">
        <v>19</v>
      </c>
      <c r="F480" s="74">
        <v>42622</v>
      </c>
      <c r="G480" s="83">
        <f>133.99+113.99+54.52+41.3+59.17+41.3+189.08+41.3+410.58+120.33+60.53</f>
        <v>1266.0899999999999</v>
      </c>
      <c r="I480" s="63">
        <f>878.33</f>
        <v>878.33</v>
      </c>
      <c r="K480" s="133"/>
      <c r="L480" s="63"/>
      <c r="M480" s="63"/>
      <c r="N480" s="63"/>
      <c r="O480" s="63"/>
      <c r="P480" s="63"/>
      <c r="Q480" s="63">
        <f t="shared" si="27"/>
        <v>2144.42</v>
      </c>
      <c r="R480" s="63">
        <f t="shared" si="28"/>
        <v>0</v>
      </c>
      <c r="S480" s="63">
        <f t="shared" si="29"/>
        <v>2144.42</v>
      </c>
    </row>
    <row r="481" spans="1:19" x14ac:dyDescent="0.2">
      <c r="A481" s="68">
        <v>131464</v>
      </c>
      <c r="B481" s="68" t="s">
        <v>6740</v>
      </c>
      <c r="C481" s="76">
        <v>322</v>
      </c>
      <c r="D481" s="72" t="s">
        <v>6720</v>
      </c>
      <c r="E481" s="72" t="s">
        <v>19</v>
      </c>
      <c r="F481" s="74">
        <v>42622</v>
      </c>
      <c r="G481" s="83">
        <f>126.44</f>
        <v>126.44</v>
      </c>
      <c r="K481" s="133"/>
      <c r="L481" s="63"/>
      <c r="M481" s="63"/>
      <c r="N481" s="63"/>
      <c r="O481" s="63"/>
      <c r="P481" s="63"/>
      <c r="Q481" s="63">
        <f t="shared" si="27"/>
        <v>126.44</v>
      </c>
      <c r="R481" s="63">
        <f t="shared" si="28"/>
        <v>0</v>
      </c>
      <c r="S481" s="63">
        <f t="shared" si="29"/>
        <v>126.44</v>
      </c>
    </row>
    <row r="482" spans="1:19" x14ac:dyDescent="0.2">
      <c r="A482" s="68">
        <v>131464</v>
      </c>
      <c r="B482" s="68" t="s">
        <v>6740</v>
      </c>
      <c r="C482" s="76">
        <v>322</v>
      </c>
      <c r="D482" s="72" t="s">
        <v>6721</v>
      </c>
      <c r="E482" s="72" t="s">
        <v>19</v>
      </c>
      <c r="F482" s="74">
        <v>42622</v>
      </c>
      <c r="G482" s="83">
        <f>66.61</f>
        <v>66.61</v>
      </c>
      <c r="K482" s="133"/>
      <c r="L482" s="63"/>
      <c r="M482" s="63"/>
      <c r="N482" s="63"/>
      <c r="O482" s="63"/>
      <c r="P482" s="63"/>
      <c r="Q482" s="63">
        <f t="shared" si="27"/>
        <v>66.61</v>
      </c>
      <c r="R482" s="63">
        <f t="shared" si="28"/>
        <v>0</v>
      </c>
      <c r="S482" s="63">
        <f t="shared" si="29"/>
        <v>66.61</v>
      </c>
    </row>
    <row r="483" spans="1:19" x14ac:dyDescent="0.2">
      <c r="A483" s="68">
        <v>133642</v>
      </c>
      <c r="B483" s="68" t="s">
        <v>6741</v>
      </c>
      <c r="C483" s="76">
        <v>323</v>
      </c>
      <c r="D483" s="72" t="s">
        <v>6722</v>
      </c>
      <c r="E483" s="72" t="s">
        <v>19</v>
      </c>
      <c r="F483" s="74">
        <v>42622</v>
      </c>
      <c r="G483" s="83">
        <v>105</v>
      </c>
      <c r="K483" s="133"/>
      <c r="L483" s="63"/>
      <c r="M483" s="63"/>
      <c r="N483" s="63"/>
      <c r="O483" s="63"/>
      <c r="P483" s="63"/>
      <c r="Q483" s="63">
        <f t="shared" si="27"/>
        <v>105</v>
      </c>
      <c r="R483" s="63">
        <f t="shared" si="28"/>
        <v>0</v>
      </c>
      <c r="S483" s="63">
        <f t="shared" si="29"/>
        <v>105</v>
      </c>
    </row>
    <row r="484" spans="1:19" x14ac:dyDescent="0.2">
      <c r="A484" s="68">
        <v>141245</v>
      </c>
      <c r="B484" s="68" t="s">
        <v>6742</v>
      </c>
      <c r="C484" s="76">
        <v>324</v>
      </c>
      <c r="D484" s="72" t="s">
        <v>6723</v>
      </c>
      <c r="E484" s="72" t="s">
        <v>19</v>
      </c>
      <c r="F484" s="74">
        <v>42624</v>
      </c>
      <c r="G484" s="83">
        <v>138.5</v>
      </c>
      <c r="K484" s="133"/>
      <c r="L484" s="63"/>
      <c r="M484" s="63"/>
      <c r="N484" s="63"/>
      <c r="O484" s="63"/>
      <c r="P484" s="63"/>
      <c r="Q484" s="63">
        <f t="shared" si="27"/>
        <v>138.5</v>
      </c>
      <c r="R484" s="63">
        <f t="shared" si="28"/>
        <v>0</v>
      </c>
      <c r="S484" s="63">
        <f t="shared" si="29"/>
        <v>138.5</v>
      </c>
    </row>
    <row r="485" spans="1:19" x14ac:dyDescent="0.2">
      <c r="A485" s="68">
        <v>133807</v>
      </c>
      <c r="B485" s="68" t="s">
        <v>6743</v>
      </c>
      <c r="C485" s="76">
        <v>325</v>
      </c>
      <c r="D485" s="72" t="s">
        <v>6752</v>
      </c>
      <c r="E485" s="72" t="s">
        <v>19</v>
      </c>
      <c r="F485" s="74">
        <v>42624</v>
      </c>
      <c r="G485" s="83">
        <f>41.3+40.9</f>
        <v>82.199999999999989</v>
      </c>
      <c r="K485" s="133"/>
      <c r="L485" s="63"/>
      <c r="M485" s="63"/>
      <c r="N485" s="63"/>
      <c r="O485" s="63"/>
      <c r="P485" s="63"/>
      <c r="Q485" s="63">
        <f t="shared" si="27"/>
        <v>82.199999999999989</v>
      </c>
      <c r="R485" s="63">
        <f t="shared" si="28"/>
        <v>0</v>
      </c>
      <c r="S485" s="63">
        <f t="shared" si="29"/>
        <v>82.199999999999989</v>
      </c>
    </row>
    <row r="486" spans="1:19" x14ac:dyDescent="0.2">
      <c r="A486" s="68">
        <v>129510</v>
      </c>
      <c r="B486" s="68" t="s">
        <v>6744</v>
      </c>
      <c r="C486" s="76">
        <v>326</v>
      </c>
      <c r="D486" s="72" t="s">
        <v>6724</v>
      </c>
      <c r="E486" s="72" t="s">
        <v>19</v>
      </c>
      <c r="F486" s="74">
        <v>42625</v>
      </c>
      <c r="G486" s="83">
        <f>167.91</f>
        <v>167.91</v>
      </c>
      <c r="K486" s="133"/>
      <c r="L486" s="63"/>
      <c r="M486" s="63"/>
      <c r="N486" s="63"/>
      <c r="O486" s="63"/>
      <c r="P486" s="63"/>
      <c r="Q486" s="63">
        <f t="shared" si="27"/>
        <v>167.91</v>
      </c>
      <c r="R486" s="63">
        <f t="shared" si="28"/>
        <v>0</v>
      </c>
      <c r="S486" s="63">
        <f t="shared" si="29"/>
        <v>167.91</v>
      </c>
    </row>
    <row r="487" spans="1:19" x14ac:dyDescent="0.2">
      <c r="A487" s="68">
        <v>124263</v>
      </c>
      <c r="B487" s="68" t="s">
        <v>6745</v>
      </c>
      <c r="C487" s="76">
        <v>327</v>
      </c>
      <c r="D487" s="72" t="s">
        <v>6725</v>
      </c>
      <c r="E487" s="72" t="s">
        <v>19</v>
      </c>
      <c r="F487" s="74">
        <v>42625</v>
      </c>
      <c r="G487" s="83">
        <f>151.5</f>
        <v>151.5</v>
      </c>
      <c r="K487" s="133"/>
      <c r="L487" s="63"/>
      <c r="M487" s="63"/>
      <c r="N487" s="63"/>
      <c r="O487" s="63"/>
      <c r="P487" s="63"/>
      <c r="Q487" s="63">
        <f t="shared" si="27"/>
        <v>151.5</v>
      </c>
      <c r="R487" s="63">
        <f t="shared" si="28"/>
        <v>0</v>
      </c>
      <c r="S487" s="63">
        <f t="shared" si="29"/>
        <v>151.5</v>
      </c>
    </row>
    <row r="488" spans="1:19" x14ac:dyDescent="0.2">
      <c r="A488" s="68">
        <v>124263</v>
      </c>
      <c r="B488" s="68" t="s">
        <v>6745</v>
      </c>
      <c r="C488" s="76">
        <v>327</v>
      </c>
      <c r="D488" s="72" t="s">
        <v>6726</v>
      </c>
      <c r="E488" s="72" t="s">
        <v>19</v>
      </c>
      <c r="F488" s="74">
        <v>42625</v>
      </c>
      <c r="G488" s="83">
        <f>83.5</f>
        <v>83.5</v>
      </c>
      <c r="K488" s="133"/>
      <c r="L488" s="63"/>
      <c r="M488" s="63"/>
      <c r="N488" s="63"/>
      <c r="O488" s="63"/>
      <c r="P488" s="63"/>
      <c r="Q488" s="63">
        <f t="shared" si="27"/>
        <v>83.5</v>
      </c>
      <c r="R488" s="63">
        <f t="shared" si="28"/>
        <v>0</v>
      </c>
      <c r="S488" s="63">
        <f t="shared" si="29"/>
        <v>83.5</v>
      </c>
    </row>
    <row r="489" spans="1:19" x14ac:dyDescent="0.2">
      <c r="A489" s="68">
        <v>136470</v>
      </c>
      <c r="B489" s="68" t="s">
        <v>6746</v>
      </c>
      <c r="C489" s="76">
        <v>328</v>
      </c>
      <c r="D489" s="72" t="s">
        <v>6727</v>
      </c>
      <c r="E489" s="72" t="s">
        <v>19</v>
      </c>
      <c r="F489" s="74">
        <v>42629</v>
      </c>
      <c r="G489" s="83">
        <f>336.48</f>
        <v>336.48</v>
      </c>
      <c r="K489" s="133"/>
      <c r="L489" s="63"/>
      <c r="M489" s="63"/>
      <c r="N489" s="63"/>
      <c r="O489" s="63"/>
      <c r="P489" s="63"/>
      <c r="Q489" s="63">
        <f t="shared" si="27"/>
        <v>336.48</v>
      </c>
      <c r="R489" s="63">
        <f t="shared" si="28"/>
        <v>0</v>
      </c>
      <c r="S489" s="63">
        <f t="shared" si="29"/>
        <v>336.48</v>
      </c>
    </row>
    <row r="490" spans="1:19" x14ac:dyDescent="0.2">
      <c r="A490" s="68">
        <v>136470</v>
      </c>
      <c r="B490" s="68" t="s">
        <v>6746</v>
      </c>
      <c r="C490" s="76">
        <v>328</v>
      </c>
      <c r="D490" s="72" t="s">
        <v>6728</v>
      </c>
      <c r="E490" s="72" t="s">
        <v>19</v>
      </c>
      <c r="F490" s="74">
        <v>42629</v>
      </c>
      <c r="G490" s="83">
        <f>208.61</f>
        <v>208.61</v>
      </c>
      <c r="K490" s="133"/>
      <c r="L490" s="63"/>
      <c r="M490" s="63"/>
      <c r="N490" s="63"/>
      <c r="O490" s="63"/>
      <c r="P490" s="63"/>
      <c r="Q490" s="63">
        <f t="shared" si="27"/>
        <v>208.61</v>
      </c>
      <c r="R490" s="63">
        <f t="shared" si="28"/>
        <v>0</v>
      </c>
      <c r="S490" s="63">
        <f t="shared" si="29"/>
        <v>208.61</v>
      </c>
    </row>
    <row r="491" spans="1:19" x14ac:dyDescent="0.2">
      <c r="A491" s="68">
        <v>131911</v>
      </c>
      <c r="B491" s="68" t="s">
        <v>6747</v>
      </c>
      <c r="C491" s="76">
        <v>329</v>
      </c>
      <c r="D491" s="72" t="s">
        <v>6729</v>
      </c>
      <c r="E491" s="72" t="s">
        <v>19</v>
      </c>
      <c r="F491" s="74">
        <v>42631</v>
      </c>
      <c r="G491" s="83">
        <f>376.2+238</f>
        <v>614.20000000000005</v>
      </c>
      <c r="K491" s="133"/>
      <c r="L491" s="63"/>
      <c r="M491" s="63"/>
      <c r="N491" s="63"/>
      <c r="O491" s="63"/>
      <c r="P491" s="63"/>
      <c r="Q491" s="63">
        <f t="shared" si="27"/>
        <v>614.20000000000005</v>
      </c>
      <c r="R491" s="63">
        <f t="shared" si="28"/>
        <v>0</v>
      </c>
      <c r="S491" s="63">
        <f t="shared" si="29"/>
        <v>614.20000000000005</v>
      </c>
    </row>
    <row r="492" spans="1:19" x14ac:dyDescent="0.2">
      <c r="A492" s="68">
        <v>138020</v>
      </c>
      <c r="B492" s="68" t="s">
        <v>6748</v>
      </c>
      <c r="C492" s="76">
        <v>330</v>
      </c>
      <c r="D492" s="72" t="s">
        <v>6730</v>
      </c>
      <c r="E492" s="72" t="s">
        <v>19</v>
      </c>
      <c r="F492" s="74">
        <v>42632</v>
      </c>
      <c r="G492" s="83">
        <f>83</f>
        <v>83</v>
      </c>
      <c r="K492" s="133"/>
      <c r="L492" s="63"/>
      <c r="M492" s="63"/>
      <c r="N492" s="63"/>
      <c r="O492" s="63"/>
      <c r="P492" s="63"/>
      <c r="Q492" s="63">
        <f t="shared" si="27"/>
        <v>83</v>
      </c>
      <c r="R492" s="63">
        <f t="shared" si="28"/>
        <v>0</v>
      </c>
      <c r="S492" s="63">
        <f t="shared" si="29"/>
        <v>83</v>
      </c>
    </row>
    <row r="493" spans="1:19" x14ac:dyDescent="0.2">
      <c r="A493" s="68">
        <v>136418</v>
      </c>
      <c r="B493" s="68" t="s">
        <v>6749</v>
      </c>
      <c r="C493" s="76">
        <v>331</v>
      </c>
      <c r="D493" s="72" t="s">
        <v>6875</v>
      </c>
      <c r="E493" s="72" t="s">
        <v>19</v>
      </c>
      <c r="F493" s="74">
        <v>42632</v>
      </c>
      <c r="G493" s="83">
        <f>148+159.9+5050.4+171.99+293+320+152.75+56.88+35+95+335</f>
        <v>6817.9199999999992</v>
      </c>
      <c r="I493" s="63">
        <f>3950</f>
        <v>3950</v>
      </c>
      <c r="K493" s="133"/>
      <c r="L493" s="63"/>
      <c r="M493" s="63"/>
      <c r="N493" s="63"/>
      <c r="O493" s="63"/>
      <c r="P493" s="63"/>
      <c r="Q493" s="63">
        <f t="shared" si="27"/>
        <v>10767.919999999998</v>
      </c>
      <c r="R493" s="63">
        <f t="shared" si="28"/>
        <v>0</v>
      </c>
      <c r="S493" s="63">
        <f t="shared" si="29"/>
        <v>10767.919999999998</v>
      </c>
    </row>
    <row r="494" spans="1:19" x14ac:dyDescent="0.2">
      <c r="A494" s="68">
        <v>134190</v>
      </c>
      <c r="B494" s="68" t="s">
        <v>6750</v>
      </c>
      <c r="C494" s="76">
        <v>332</v>
      </c>
      <c r="D494" s="72" t="s">
        <v>6731</v>
      </c>
      <c r="E494" s="72" t="s">
        <v>19</v>
      </c>
      <c r="F494" s="74">
        <v>42633</v>
      </c>
      <c r="G494" s="83">
        <f>113.01+98.06+68.5</f>
        <v>279.57</v>
      </c>
      <c r="K494" s="133"/>
      <c r="L494" s="63"/>
      <c r="M494" s="63"/>
      <c r="N494" s="63"/>
      <c r="O494" s="63"/>
      <c r="P494" s="63"/>
      <c r="Q494" s="63">
        <f t="shared" si="27"/>
        <v>279.57</v>
      </c>
      <c r="R494" s="63">
        <f t="shared" si="28"/>
        <v>0</v>
      </c>
      <c r="S494" s="63">
        <f t="shared" si="29"/>
        <v>279.57</v>
      </c>
    </row>
    <row r="495" spans="1:19" x14ac:dyDescent="0.2">
      <c r="A495" s="68">
        <v>134190</v>
      </c>
      <c r="B495" s="68" t="s">
        <v>6750</v>
      </c>
      <c r="C495" s="76">
        <v>332</v>
      </c>
      <c r="D495" s="72" t="s">
        <v>6732</v>
      </c>
      <c r="E495" s="72" t="s">
        <v>19</v>
      </c>
      <c r="F495" s="74">
        <v>42633</v>
      </c>
      <c r="G495" s="83">
        <f>113.01+77.14+49.7</f>
        <v>239.85000000000002</v>
      </c>
      <c r="K495" s="133"/>
      <c r="L495" s="63"/>
      <c r="M495" s="63"/>
      <c r="N495" s="63"/>
      <c r="O495" s="63"/>
      <c r="P495" s="63"/>
      <c r="Q495" s="63">
        <f t="shared" si="27"/>
        <v>239.85000000000002</v>
      </c>
      <c r="R495" s="63">
        <f t="shared" si="28"/>
        <v>0</v>
      </c>
      <c r="S495" s="63">
        <f t="shared" si="29"/>
        <v>239.85000000000002</v>
      </c>
    </row>
    <row r="496" spans="1:19" x14ac:dyDescent="0.2">
      <c r="A496" s="68">
        <v>136730</v>
      </c>
      <c r="B496" s="68" t="s">
        <v>6751</v>
      </c>
      <c r="C496" s="76">
        <v>333</v>
      </c>
      <c r="D496" s="72" t="s">
        <v>6733</v>
      </c>
      <c r="E496" s="72" t="s">
        <v>19</v>
      </c>
      <c r="F496" s="74">
        <v>42633</v>
      </c>
      <c r="G496" s="83">
        <f>48</f>
        <v>48</v>
      </c>
      <c r="K496" s="133"/>
      <c r="L496" s="63"/>
      <c r="M496" s="63"/>
      <c r="N496" s="63"/>
      <c r="O496" s="63"/>
      <c r="P496" s="63"/>
      <c r="Q496" s="63">
        <f t="shared" si="27"/>
        <v>48</v>
      </c>
      <c r="R496" s="63">
        <f t="shared" si="28"/>
        <v>0</v>
      </c>
      <c r="S496" s="63">
        <f t="shared" si="29"/>
        <v>48</v>
      </c>
    </row>
    <row r="497" spans="1:19" x14ac:dyDescent="0.2">
      <c r="A497" s="68">
        <v>135355</v>
      </c>
      <c r="B497" s="68" t="s">
        <v>6757</v>
      </c>
      <c r="C497" s="76">
        <v>334</v>
      </c>
      <c r="D497" s="72" t="s">
        <v>6755</v>
      </c>
      <c r="E497" s="72" t="s">
        <v>19</v>
      </c>
      <c r="F497" s="74">
        <v>42635</v>
      </c>
      <c r="G497" s="83">
        <f>48.5</f>
        <v>48.5</v>
      </c>
      <c r="K497" s="133"/>
      <c r="L497" s="63"/>
      <c r="M497" s="63"/>
      <c r="N497" s="63"/>
      <c r="O497" s="63"/>
      <c r="P497" s="63"/>
      <c r="Q497" s="63">
        <f t="shared" si="27"/>
        <v>48.5</v>
      </c>
      <c r="R497" s="63">
        <f t="shared" si="28"/>
        <v>0</v>
      </c>
      <c r="S497" s="63">
        <f t="shared" si="29"/>
        <v>48.5</v>
      </c>
    </row>
    <row r="498" spans="1:19" x14ac:dyDescent="0.2">
      <c r="A498" s="68">
        <v>135355</v>
      </c>
      <c r="B498" s="68" t="s">
        <v>6757</v>
      </c>
      <c r="C498" s="76">
        <v>334</v>
      </c>
      <c r="D498" s="72" t="s">
        <v>6756</v>
      </c>
      <c r="E498" s="72" t="s">
        <v>19</v>
      </c>
      <c r="F498" s="74">
        <v>42635</v>
      </c>
      <c r="G498" s="83">
        <f>756.82+92.75+47.2+47.2+47.2+350+238</f>
        <v>1579.17</v>
      </c>
      <c r="K498" s="133"/>
      <c r="L498" s="63"/>
      <c r="M498" s="63"/>
      <c r="N498" s="63"/>
      <c r="O498" s="63"/>
      <c r="P498" s="63"/>
      <c r="Q498" s="63">
        <f t="shared" si="27"/>
        <v>1579.17</v>
      </c>
      <c r="R498" s="63">
        <f t="shared" si="28"/>
        <v>0</v>
      </c>
      <c r="S498" s="63">
        <f t="shared" si="29"/>
        <v>1579.17</v>
      </c>
    </row>
    <row r="499" spans="1:19" x14ac:dyDescent="0.2">
      <c r="A499" s="68">
        <v>140987</v>
      </c>
      <c r="B499" s="68" t="s">
        <v>6759</v>
      </c>
      <c r="C499" s="76">
        <v>335</v>
      </c>
      <c r="D499" s="72" t="s">
        <v>6758</v>
      </c>
      <c r="E499" s="72" t="s">
        <v>19</v>
      </c>
      <c r="F499" s="74">
        <v>42636</v>
      </c>
      <c r="G499" s="83">
        <f>49</f>
        <v>49</v>
      </c>
      <c r="K499" s="133"/>
      <c r="L499" s="63"/>
      <c r="M499" s="63"/>
      <c r="N499" s="63"/>
      <c r="O499" s="63"/>
      <c r="P499" s="63"/>
      <c r="Q499" s="63">
        <f t="shared" si="27"/>
        <v>49</v>
      </c>
      <c r="R499" s="63">
        <f t="shared" si="28"/>
        <v>0</v>
      </c>
      <c r="S499" s="63">
        <f t="shared" si="29"/>
        <v>49</v>
      </c>
    </row>
    <row r="500" spans="1:19" x14ac:dyDescent="0.2">
      <c r="A500" s="68">
        <v>129833</v>
      </c>
      <c r="B500" s="68" t="s">
        <v>6760</v>
      </c>
      <c r="C500" s="76">
        <v>336</v>
      </c>
      <c r="D500" s="72" t="s">
        <v>6761</v>
      </c>
      <c r="E500" s="72" t="s">
        <v>19</v>
      </c>
      <c r="F500" s="74">
        <v>42636</v>
      </c>
      <c r="G500" s="83">
        <f>192.29+259.91</f>
        <v>452.20000000000005</v>
      </c>
      <c r="K500" s="133"/>
      <c r="L500" s="63"/>
      <c r="M500" s="63"/>
      <c r="N500" s="63"/>
      <c r="O500" s="63"/>
      <c r="P500" s="63"/>
      <c r="Q500" s="63">
        <f t="shared" si="27"/>
        <v>452.20000000000005</v>
      </c>
      <c r="R500" s="63">
        <f t="shared" si="28"/>
        <v>0</v>
      </c>
      <c r="S500" s="63">
        <f t="shared" si="29"/>
        <v>452.20000000000005</v>
      </c>
    </row>
    <row r="501" spans="1:19" x14ac:dyDescent="0.2">
      <c r="A501" s="68">
        <v>140682</v>
      </c>
      <c r="B501" s="85" t="s">
        <v>6763</v>
      </c>
      <c r="C501" s="76">
        <v>337</v>
      </c>
      <c r="D501" s="86" t="s">
        <v>6762</v>
      </c>
      <c r="E501" s="86" t="s">
        <v>19</v>
      </c>
      <c r="F501" s="87">
        <v>42637</v>
      </c>
      <c r="G501" s="83">
        <f>99.78+251.36+138.27+1161.55+65.17+65.17+309.07+167.78+143.91+41.3+143.91+140+65.17+133.41+143.91+167.78+236.6+41.3+158.48+65.17+41.3</f>
        <v>3780.3900000000008</v>
      </c>
      <c r="H501" s="96"/>
      <c r="I501" s="63">
        <v>3950</v>
      </c>
      <c r="K501" s="133"/>
      <c r="L501" s="63"/>
      <c r="M501" s="63"/>
      <c r="N501" s="63"/>
      <c r="O501" s="63"/>
      <c r="P501" s="63"/>
      <c r="Q501" s="63">
        <f t="shared" si="27"/>
        <v>7730.3900000000012</v>
      </c>
      <c r="R501" s="63">
        <f t="shared" si="28"/>
        <v>0</v>
      </c>
      <c r="S501" s="63">
        <f t="shared" si="29"/>
        <v>7730.3900000000012</v>
      </c>
    </row>
    <row r="502" spans="1:19" x14ac:dyDescent="0.2">
      <c r="A502" s="68">
        <v>137573</v>
      </c>
      <c r="B502" s="85" t="s">
        <v>6764</v>
      </c>
      <c r="C502" s="76">
        <v>338</v>
      </c>
      <c r="D502" s="86" t="s">
        <v>6765</v>
      </c>
      <c r="E502" s="86" t="s">
        <v>19</v>
      </c>
      <c r="F502" s="87">
        <v>42637</v>
      </c>
      <c r="G502" s="83">
        <f>103.03+438.58+290.86</f>
        <v>832.47</v>
      </c>
      <c r="H502" s="96"/>
      <c r="K502" s="133"/>
      <c r="L502" s="63"/>
      <c r="M502" s="63"/>
      <c r="N502" s="63"/>
      <c r="O502" s="63"/>
      <c r="P502" s="63"/>
      <c r="Q502" s="63">
        <f t="shared" si="27"/>
        <v>832.47</v>
      </c>
      <c r="R502" s="63">
        <f t="shared" si="28"/>
        <v>0</v>
      </c>
      <c r="S502" s="63">
        <f t="shared" si="29"/>
        <v>832.47</v>
      </c>
    </row>
    <row r="503" spans="1:19" x14ac:dyDescent="0.2">
      <c r="A503" s="68">
        <v>131825</v>
      </c>
      <c r="B503" s="85" t="s">
        <v>6767</v>
      </c>
      <c r="C503" s="76">
        <v>339</v>
      </c>
      <c r="D503" s="86" t="s">
        <v>6766</v>
      </c>
      <c r="E503" s="86" t="s">
        <v>19</v>
      </c>
      <c r="F503" s="87">
        <v>42638</v>
      </c>
      <c r="G503" s="83">
        <f>132</f>
        <v>132</v>
      </c>
      <c r="H503" s="96"/>
      <c r="K503" s="133"/>
      <c r="L503" s="63"/>
      <c r="M503" s="63"/>
      <c r="N503" s="63"/>
      <c r="O503" s="63"/>
      <c r="P503" s="63"/>
      <c r="Q503" s="63">
        <f t="shared" si="27"/>
        <v>132</v>
      </c>
      <c r="R503" s="63">
        <f t="shared" si="28"/>
        <v>0</v>
      </c>
      <c r="S503" s="63">
        <f t="shared" si="29"/>
        <v>132</v>
      </c>
    </row>
    <row r="504" spans="1:19" x14ac:dyDescent="0.2">
      <c r="A504" s="68">
        <v>128902</v>
      </c>
      <c r="B504" s="85" t="s">
        <v>6768</v>
      </c>
      <c r="C504" s="76">
        <v>340</v>
      </c>
      <c r="D504" s="86" t="s">
        <v>6769</v>
      </c>
      <c r="E504" s="86" t="s">
        <v>4064</v>
      </c>
      <c r="F504" s="87">
        <v>42638</v>
      </c>
      <c r="G504" s="83">
        <v>60.8</v>
      </c>
      <c r="H504" s="96"/>
      <c r="K504" s="133"/>
      <c r="L504" s="63"/>
      <c r="M504" s="63"/>
      <c r="N504" s="63"/>
      <c r="O504" s="63"/>
      <c r="P504" s="63"/>
      <c r="Q504" s="63">
        <f t="shared" si="27"/>
        <v>60.8</v>
      </c>
      <c r="R504" s="63">
        <f t="shared" si="28"/>
        <v>0</v>
      </c>
      <c r="S504" s="63">
        <f t="shared" si="29"/>
        <v>60.8</v>
      </c>
    </row>
    <row r="505" spans="1:19" x14ac:dyDescent="0.2">
      <c r="A505" s="68">
        <v>137370</v>
      </c>
      <c r="B505" s="85" t="s">
        <v>6771</v>
      </c>
      <c r="C505" s="76">
        <v>341</v>
      </c>
      <c r="D505" s="86" t="s">
        <v>6770</v>
      </c>
      <c r="E505" s="86" t="s">
        <v>19</v>
      </c>
      <c r="F505" s="87">
        <v>42639</v>
      </c>
      <c r="G505" s="83">
        <f>137.5</f>
        <v>137.5</v>
      </c>
      <c r="H505" s="96"/>
      <c r="K505" s="133"/>
      <c r="L505" s="63"/>
      <c r="M505" s="63"/>
      <c r="N505" s="63"/>
      <c r="O505" s="63"/>
      <c r="P505" s="63"/>
      <c r="Q505" s="63">
        <f t="shared" si="27"/>
        <v>137.5</v>
      </c>
      <c r="R505" s="63">
        <f t="shared" si="28"/>
        <v>0</v>
      </c>
      <c r="S505" s="63">
        <f t="shared" si="29"/>
        <v>137.5</v>
      </c>
    </row>
    <row r="506" spans="1:19" x14ac:dyDescent="0.2">
      <c r="A506" s="68">
        <v>141423</v>
      </c>
      <c r="B506" s="85" t="s">
        <v>6772</v>
      </c>
      <c r="C506" s="76">
        <v>342</v>
      </c>
      <c r="D506" s="86" t="s">
        <v>6773</v>
      </c>
      <c r="E506" s="86" t="s">
        <v>19</v>
      </c>
      <c r="F506" s="87">
        <v>42639</v>
      </c>
      <c r="G506" s="83">
        <f>326.94</f>
        <v>326.94</v>
      </c>
      <c r="H506" s="96"/>
      <c r="K506" s="133"/>
      <c r="L506" s="63"/>
      <c r="M506" s="63"/>
      <c r="N506" s="63"/>
      <c r="O506" s="63"/>
      <c r="P506" s="63"/>
      <c r="Q506" s="63">
        <f t="shared" si="27"/>
        <v>326.94</v>
      </c>
      <c r="R506" s="63">
        <f t="shared" si="28"/>
        <v>0</v>
      </c>
      <c r="S506" s="63">
        <f t="shared" si="29"/>
        <v>326.94</v>
      </c>
    </row>
    <row r="507" spans="1:19" x14ac:dyDescent="0.2">
      <c r="A507" s="68">
        <v>125676</v>
      </c>
      <c r="B507" s="85" t="s">
        <v>6774</v>
      </c>
      <c r="C507" s="76">
        <v>343</v>
      </c>
      <c r="D507" s="86" t="s">
        <v>6978</v>
      </c>
      <c r="E507" s="86" t="s">
        <v>19</v>
      </c>
      <c r="F507" s="87">
        <v>42639</v>
      </c>
      <c r="G507" s="83">
        <v>206.21</v>
      </c>
      <c r="H507" s="96"/>
      <c r="K507" s="133"/>
      <c r="L507" s="63"/>
      <c r="M507" s="63"/>
      <c r="N507" s="63"/>
      <c r="O507" s="63"/>
      <c r="P507" s="63"/>
      <c r="Q507" s="63">
        <f t="shared" si="27"/>
        <v>206.21</v>
      </c>
      <c r="R507" s="63">
        <f t="shared" si="28"/>
        <v>0</v>
      </c>
      <c r="S507" s="63">
        <f t="shared" si="29"/>
        <v>206.21</v>
      </c>
    </row>
    <row r="508" spans="1:19" x14ac:dyDescent="0.2">
      <c r="A508" s="68">
        <v>140500</v>
      </c>
      <c r="B508" s="85" t="s">
        <v>6776</v>
      </c>
      <c r="C508" s="76">
        <v>344</v>
      </c>
      <c r="D508" s="86" t="s">
        <v>6775</v>
      </c>
      <c r="E508" s="86" t="s">
        <v>19</v>
      </c>
      <c r="F508" s="87">
        <v>42644</v>
      </c>
      <c r="G508" s="83"/>
      <c r="H508" s="96"/>
      <c r="K508" s="133"/>
      <c r="L508" s="63"/>
      <c r="M508" s="63"/>
      <c r="N508" s="63"/>
      <c r="O508" s="63"/>
      <c r="P508" s="63"/>
      <c r="Q508" s="63">
        <f t="shared" si="27"/>
        <v>0</v>
      </c>
      <c r="R508" s="63">
        <f t="shared" si="28"/>
        <v>0</v>
      </c>
      <c r="S508" s="63">
        <f t="shared" si="29"/>
        <v>0</v>
      </c>
    </row>
    <row r="509" spans="1:19" x14ac:dyDescent="0.2">
      <c r="A509" s="68">
        <v>141848</v>
      </c>
      <c r="B509" s="85" t="s">
        <v>5336</v>
      </c>
      <c r="C509" s="76">
        <v>345</v>
      </c>
      <c r="D509" s="86" t="s">
        <v>6777</v>
      </c>
      <c r="E509" s="86" t="s">
        <v>19</v>
      </c>
      <c r="F509" s="87">
        <v>42644</v>
      </c>
      <c r="G509" s="83">
        <v>48</v>
      </c>
      <c r="H509" s="96"/>
      <c r="K509" s="133"/>
      <c r="L509" s="63"/>
      <c r="M509" s="63"/>
      <c r="N509" s="63"/>
      <c r="O509" s="63"/>
      <c r="P509" s="63"/>
      <c r="Q509" s="63">
        <f t="shared" si="27"/>
        <v>48</v>
      </c>
      <c r="R509" s="63">
        <f t="shared" si="28"/>
        <v>0</v>
      </c>
      <c r="S509" s="63">
        <f t="shared" si="29"/>
        <v>48</v>
      </c>
    </row>
    <row r="510" spans="1:19" x14ac:dyDescent="0.2">
      <c r="A510" s="68">
        <v>141848</v>
      </c>
      <c r="B510" s="85" t="s">
        <v>5336</v>
      </c>
      <c r="C510" s="76">
        <v>345</v>
      </c>
      <c r="D510" s="86" t="s">
        <v>6778</v>
      </c>
      <c r="E510" s="86" t="s">
        <v>19</v>
      </c>
      <c r="F510" s="87">
        <v>42644</v>
      </c>
      <c r="G510" s="83">
        <v>48</v>
      </c>
      <c r="H510" s="96"/>
      <c r="K510" s="133"/>
      <c r="L510" s="63"/>
      <c r="M510" s="63"/>
      <c r="N510" s="63"/>
      <c r="O510" s="63"/>
      <c r="P510" s="63"/>
      <c r="Q510" s="63">
        <f t="shared" si="27"/>
        <v>48</v>
      </c>
      <c r="R510" s="63">
        <f t="shared" si="28"/>
        <v>0</v>
      </c>
      <c r="S510" s="63">
        <f t="shared" si="29"/>
        <v>48</v>
      </c>
    </row>
    <row r="511" spans="1:19" x14ac:dyDescent="0.2">
      <c r="A511" s="68">
        <v>141848</v>
      </c>
      <c r="B511" s="85" t="s">
        <v>5336</v>
      </c>
      <c r="C511" s="76">
        <v>345</v>
      </c>
      <c r="D511" s="86" t="s">
        <v>6779</v>
      </c>
      <c r="E511" s="86" t="s">
        <v>19</v>
      </c>
      <c r="F511" s="87">
        <v>42644</v>
      </c>
      <c r="G511" s="83">
        <v>48</v>
      </c>
      <c r="H511" s="96"/>
      <c r="K511" s="133"/>
      <c r="L511" s="63"/>
      <c r="M511" s="63"/>
      <c r="N511" s="63"/>
      <c r="O511" s="63"/>
      <c r="P511" s="63"/>
      <c r="Q511" s="63">
        <f t="shared" si="27"/>
        <v>48</v>
      </c>
      <c r="R511" s="63">
        <f t="shared" si="28"/>
        <v>0</v>
      </c>
      <c r="S511" s="63">
        <f t="shared" si="29"/>
        <v>48</v>
      </c>
    </row>
    <row r="512" spans="1:19" x14ac:dyDescent="0.2">
      <c r="A512" s="68">
        <v>131736</v>
      </c>
      <c r="B512" s="85" t="s">
        <v>6780</v>
      </c>
      <c r="C512" s="76">
        <v>346</v>
      </c>
      <c r="D512" s="86" t="s">
        <v>6781</v>
      </c>
      <c r="E512" s="86" t="s">
        <v>19</v>
      </c>
      <c r="F512" s="87">
        <v>42644</v>
      </c>
      <c r="G512" s="83">
        <f>2758.34+115.4+1185+885.83+259.6+76.95+59+436.6</f>
        <v>5776.7200000000012</v>
      </c>
      <c r="H512" s="96"/>
      <c r="I512" s="63">
        <v>3950</v>
      </c>
      <c r="K512" s="133"/>
      <c r="L512" s="63"/>
      <c r="M512" s="63"/>
      <c r="N512" s="63"/>
      <c r="O512" s="63"/>
      <c r="P512" s="63"/>
      <c r="Q512" s="63">
        <f t="shared" si="27"/>
        <v>9726.7200000000012</v>
      </c>
      <c r="R512" s="63">
        <f t="shared" si="28"/>
        <v>0</v>
      </c>
      <c r="S512" s="63">
        <f t="shared" si="29"/>
        <v>9726.7200000000012</v>
      </c>
    </row>
    <row r="513" spans="1:19" x14ac:dyDescent="0.2">
      <c r="A513" s="68">
        <v>134260</v>
      </c>
      <c r="B513" s="85" t="s">
        <v>6782</v>
      </c>
      <c r="C513" s="76">
        <v>347</v>
      </c>
      <c r="D513" s="86" t="s">
        <v>6783</v>
      </c>
      <c r="E513" s="86" t="s">
        <v>19</v>
      </c>
      <c r="F513" s="87">
        <v>42645</v>
      </c>
      <c r="G513" s="83">
        <f>336.28+105.65</f>
        <v>441.92999999999995</v>
      </c>
      <c r="H513" s="96"/>
      <c r="K513" s="133"/>
      <c r="L513" s="63"/>
      <c r="M513" s="63"/>
      <c r="N513" s="63"/>
      <c r="O513" s="63"/>
      <c r="P513" s="63"/>
      <c r="Q513" s="63">
        <f t="shared" si="27"/>
        <v>441.92999999999995</v>
      </c>
      <c r="R513" s="63">
        <f t="shared" si="28"/>
        <v>0</v>
      </c>
      <c r="S513" s="63">
        <f t="shared" si="29"/>
        <v>441.92999999999995</v>
      </c>
    </row>
    <row r="514" spans="1:19" x14ac:dyDescent="0.2">
      <c r="A514" s="68">
        <v>134260</v>
      </c>
      <c r="B514" s="85" t="s">
        <v>6782</v>
      </c>
      <c r="C514" s="76">
        <v>347</v>
      </c>
      <c r="D514" s="86" t="s">
        <v>6784</v>
      </c>
      <c r="E514" s="86" t="s">
        <v>19</v>
      </c>
      <c r="F514" s="87">
        <v>42645</v>
      </c>
      <c r="G514" s="83">
        <f>69.51+212.45+123.34+7.81</f>
        <v>413.10999999999996</v>
      </c>
      <c r="H514" s="96"/>
      <c r="K514" s="133"/>
      <c r="L514" s="63"/>
      <c r="M514" s="63"/>
      <c r="N514" s="63"/>
      <c r="O514" s="63"/>
      <c r="P514" s="63"/>
      <c r="Q514" s="63">
        <f t="shared" si="27"/>
        <v>413.10999999999996</v>
      </c>
      <c r="R514" s="63">
        <f t="shared" si="28"/>
        <v>0</v>
      </c>
      <c r="S514" s="63">
        <f t="shared" si="29"/>
        <v>413.10999999999996</v>
      </c>
    </row>
    <row r="515" spans="1:19" x14ac:dyDescent="0.2">
      <c r="A515" s="68">
        <v>131313</v>
      </c>
      <c r="B515" s="85" t="s">
        <v>6785</v>
      </c>
      <c r="C515" s="76">
        <v>348</v>
      </c>
      <c r="D515" s="86" t="s">
        <v>6786</v>
      </c>
      <c r="E515" s="86" t="s">
        <v>19</v>
      </c>
      <c r="F515" s="87">
        <v>42646</v>
      </c>
      <c r="G515" s="83">
        <f>275.19+63.28+47.2+47.2+56.48</f>
        <v>489.35</v>
      </c>
      <c r="H515" s="96"/>
      <c r="I515" s="63">
        <v>566.66999999999996</v>
      </c>
      <c r="K515" s="133"/>
      <c r="L515" s="63"/>
      <c r="M515" s="63"/>
      <c r="N515" s="63"/>
      <c r="O515" s="63"/>
      <c r="P515" s="63"/>
      <c r="Q515" s="63">
        <f t="shared" si="27"/>
        <v>1056.02</v>
      </c>
      <c r="R515" s="63">
        <f t="shared" si="28"/>
        <v>0</v>
      </c>
      <c r="S515" s="63">
        <f t="shared" si="29"/>
        <v>1056.02</v>
      </c>
    </row>
    <row r="516" spans="1:19" x14ac:dyDescent="0.2">
      <c r="A516" s="68">
        <v>131313</v>
      </c>
      <c r="B516" s="85" t="s">
        <v>6785</v>
      </c>
      <c r="C516" s="76">
        <v>348</v>
      </c>
      <c r="D516" s="86" t="s">
        <v>6787</v>
      </c>
      <c r="E516" s="86" t="s">
        <v>19</v>
      </c>
      <c r="F516" s="87">
        <v>42646</v>
      </c>
      <c r="G516" s="83">
        <f>67.31+277.6</f>
        <v>344.91</v>
      </c>
      <c r="H516" s="96"/>
      <c r="I516" s="63">
        <v>566.66999999999996</v>
      </c>
      <c r="K516" s="133"/>
      <c r="L516" s="63"/>
      <c r="M516" s="63"/>
      <c r="N516" s="63"/>
      <c r="O516" s="63"/>
      <c r="P516" s="63"/>
      <c r="Q516" s="63">
        <f t="shared" si="27"/>
        <v>911.57999999999993</v>
      </c>
      <c r="R516" s="63">
        <f t="shared" si="28"/>
        <v>0</v>
      </c>
      <c r="S516" s="63">
        <f t="shared" si="29"/>
        <v>911.57999999999993</v>
      </c>
    </row>
    <row r="517" spans="1:19" x14ac:dyDescent="0.2">
      <c r="A517" s="68">
        <v>131313</v>
      </c>
      <c r="B517" s="85" t="s">
        <v>6785</v>
      </c>
      <c r="C517" s="76">
        <v>348</v>
      </c>
      <c r="D517" s="86" t="s">
        <v>6788</v>
      </c>
      <c r="E517" s="86" t="s">
        <v>19</v>
      </c>
      <c r="F517" s="87">
        <v>42646</v>
      </c>
      <c r="G517" s="83">
        <f>134.73+47.2+47.2+687.42+67.85+26.98</f>
        <v>1011.38</v>
      </c>
      <c r="H517" s="96"/>
      <c r="K517" s="133"/>
      <c r="L517" s="63"/>
      <c r="M517" s="63"/>
      <c r="N517" s="63"/>
      <c r="O517" s="63"/>
      <c r="P517" s="63"/>
      <c r="Q517" s="63">
        <f t="shared" si="27"/>
        <v>1011.38</v>
      </c>
      <c r="R517" s="63">
        <f t="shared" si="28"/>
        <v>0</v>
      </c>
      <c r="S517" s="63">
        <f t="shared" si="29"/>
        <v>1011.38</v>
      </c>
    </row>
    <row r="518" spans="1:19" x14ac:dyDescent="0.2">
      <c r="A518" s="68">
        <v>131313</v>
      </c>
      <c r="B518" s="85" t="s">
        <v>6785</v>
      </c>
      <c r="C518" s="76">
        <v>348</v>
      </c>
      <c r="D518" s="86" t="s">
        <v>6789</v>
      </c>
      <c r="E518" s="86" t="s">
        <v>19</v>
      </c>
      <c r="F518" s="87">
        <v>42646</v>
      </c>
      <c r="G518" s="83">
        <f>116.32</f>
        <v>116.32</v>
      </c>
      <c r="H518" s="96"/>
      <c r="K518" s="133"/>
      <c r="L518" s="63"/>
      <c r="M518" s="63"/>
      <c r="N518" s="63"/>
      <c r="O518" s="63"/>
      <c r="P518" s="63"/>
      <c r="Q518" s="63">
        <f t="shared" si="27"/>
        <v>116.32</v>
      </c>
      <c r="R518" s="63">
        <f t="shared" si="28"/>
        <v>0</v>
      </c>
      <c r="S518" s="63">
        <f t="shared" si="29"/>
        <v>116.32</v>
      </c>
    </row>
    <row r="519" spans="1:19" x14ac:dyDescent="0.2">
      <c r="A519" s="68">
        <v>140444</v>
      </c>
      <c r="B519" s="85" t="s">
        <v>6790</v>
      </c>
      <c r="C519" s="76">
        <v>349</v>
      </c>
      <c r="D519" s="86" t="s">
        <v>6791</v>
      </c>
      <c r="E519" s="86" t="s">
        <v>19</v>
      </c>
      <c r="F519" s="87">
        <v>42647</v>
      </c>
      <c r="G519" s="83">
        <f>200</f>
        <v>200</v>
      </c>
      <c r="H519" s="96"/>
      <c r="K519" s="133"/>
      <c r="L519" s="63"/>
      <c r="M519" s="63"/>
      <c r="N519" s="63"/>
      <c r="O519" s="63"/>
      <c r="P519" s="63"/>
      <c r="Q519" s="63">
        <f t="shared" si="27"/>
        <v>200</v>
      </c>
      <c r="R519" s="63">
        <f t="shared" si="28"/>
        <v>0</v>
      </c>
      <c r="S519" s="63">
        <f t="shared" si="29"/>
        <v>200</v>
      </c>
    </row>
    <row r="520" spans="1:19" x14ac:dyDescent="0.2">
      <c r="A520" s="68">
        <v>126165</v>
      </c>
      <c r="B520" s="85" t="s">
        <v>6792</v>
      </c>
      <c r="C520" s="76">
        <v>350</v>
      </c>
      <c r="D520" s="86" t="s">
        <v>6793</v>
      </c>
      <c r="E520" s="86" t="s">
        <v>19</v>
      </c>
      <c r="F520" s="87">
        <v>42648</v>
      </c>
      <c r="G520" s="83">
        <f>199.72</f>
        <v>199.72</v>
      </c>
      <c r="H520" s="96"/>
      <c r="K520" s="133"/>
      <c r="L520" s="63"/>
      <c r="M520" s="63"/>
      <c r="N520" s="63"/>
      <c r="O520" s="63"/>
      <c r="P520" s="63"/>
      <c r="Q520" s="63">
        <f t="shared" si="27"/>
        <v>199.72</v>
      </c>
      <c r="R520" s="63">
        <f t="shared" si="28"/>
        <v>0</v>
      </c>
      <c r="S520" s="63">
        <f t="shared" si="29"/>
        <v>199.72</v>
      </c>
    </row>
    <row r="521" spans="1:19" x14ac:dyDescent="0.2">
      <c r="A521" s="68">
        <v>144262</v>
      </c>
      <c r="B521" s="85" t="s">
        <v>6794</v>
      </c>
      <c r="C521" s="76">
        <v>351</v>
      </c>
      <c r="D521" s="86" t="s">
        <v>6795</v>
      </c>
      <c r="E521" s="86" t="s">
        <v>19</v>
      </c>
      <c r="F521" s="87">
        <v>42648</v>
      </c>
      <c r="G521" s="83"/>
      <c r="H521" s="96"/>
      <c r="K521" s="133"/>
      <c r="L521" s="63"/>
      <c r="M521" s="63">
        <v>3950</v>
      </c>
      <c r="N521" s="63"/>
      <c r="O521" s="63">
        <v>15800</v>
      </c>
      <c r="P521" s="63"/>
      <c r="Q521" s="63">
        <f t="shared" si="27"/>
        <v>19750</v>
      </c>
      <c r="R521" s="63">
        <f t="shared" si="28"/>
        <v>0</v>
      </c>
      <c r="S521" s="63">
        <f t="shared" si="29"/>
        <v>19750</v>
      </c>
    </row>
    <row r="522" spans="1:19" x14ac:dyDescent="0.2">
      <c r="A522" s="68">
        <v>140543</v>
      </c>
      <c r="B522" s="85" t="s">
        <v>6796</v>
      </c>
      <c r="C522" s="76">
        <v>352</v>
      </c>
      <c r="D522" s="86" t="s">
        <v>6797</v>
      </c>
      <c r="E522" s="86" t="s">
        <v>19</v>
      </c>
      <c r="F522" s="87">
        <v>42649</v>
      </c>
      <c r="G522" s="83">
        <f>413.68</f>
        <v>413.68</v>
      </c>
      <c r="H522" s="96"/>
      <c r="K522" s="133"/>
      <c r="L522" s="63"/>
      <c r="M522" s="63"/>
      <c r="N522" s="63"/>
      <c r="O522" s="63"/>
      <c r="P522" s="63"/>
      <c r="Q522" s="63">
        <f t="shared" si="27"/>
        <v>413.68</v>
      </c>
      <c r="R522" s="63">
        <f t="shared" si="28"/>
        <v>0</v>
      </c>
      <c r="S522" s="63">
        <f t="shared" si="29"/>
        <v>413.68</v>
      </c>
    </row>
    <row r="523" spans="1:19" x14ac:dyDescent="0.2">
      <c r="A523" s="68">
        <v>140543</v>
      </c>
      <c r="B523" s="85" t="s">
        <v>6796</v>
      </c>
      <c r="C523" s="76">
        <v>352</v>
      </c>
      <c r="D523" s="86" t="s">
        <v>6798</v>
      </c>
      <c r="E523" s="86" t="s">
        <v>19</v>
      </c>
      <c r="F523" s="87">
        <v>42649</v>
      </c>
      <c r="G523" s="83">
        <f>244.71+52.72</f>
        <v>297.43</v>
      </c>
      <c r="H523" s="96"/>
      <c r="K523" s="133"/>
      <c r="L523" s="63"/>
      <c r="M523" s="63"/>
      <c r="N523" s="63"/>
      <c r="O523" s="63"/>
      <c r="P523" s="63"/>
      <c r="Q523" s="63">
        <f t="shared" si="27"/>
        <v>297.43</v>
      </c>
      <c r="R523" s="63">
        <f t="shared" si="28"/>
        <v>0</v>
      </c>
      <c r="S523" s="63">
        <f t="shared" si="29"/>
        <v>297.43</v>
      </c>
    </row>
    <row r="524" spans="1:19" x14ac:dyDescent="0.2">
      <c r="A524" s="68">
        <v>132377</v>
      </c>
      <c r="B524" s="85" t="s">
        <v>6799</v>
      </c>
      <c r="C524" s="76">
        <v>353</v>
      </c>
      <c r="D524" s="86" t="s">
        <v>6800</v>
      </c>
      <c r="E524" s="86" t="s">
        <v>19</v>
      </c>
      <c r="F524" s="87">
        <v>42649</v>
      </c>
      <c r="G524" s="83">
        <v>373.88</v>
      </c>
      <c r="H524" s="96"/>
      <c r="K524" s="133"/>
      <c r="L524" s="63"/>
      <c r="M524" s="63"/>
      <c r="N524" s="63"/>
      <c r="O524" s="63"/>
      <c r="P524" s="63"/>
      <c r="Q524" s="63">
        <f t="shared" si="27"/>
        <v>373.88</v>
      </c>
      <c r="R524" s="63">
        <f t="shared" si="28"/>
        <v>0</v>
      </c>
      <c r="S524" s="63">
        <f t="shared" si="29"/>
        <v>373.88</v>
      </c>
    </row>
    <row r="525" spans="1:19" x14ac:dyDescent="0.2">
      <c r="A525" s="68">
        <v>132377</v>
      </c>
      <c r="B525" s="85" t="s">
        <v>6799</v>
      </c>
      <c r="C525" s="76">
        <v>353</v>
      </c>
      <c r="D525" s="86" t="s">
        <v>6801</v>
      </c>
      <c r="E525" s="86" t="s">
        <v>19</v>
      </c>
      <c r="F525" s="87">
        <v>42649</v>
      </c>
      <c r="G525" s="83">
        <v>271.39999999999998</v>
      </c>
      <c r="H525" s="96"/>
      <c r="K525" s="133"/>
      <c r="L525" s="63"/>
      <c r="M525" s="63"/>
      <c r="N525" s="63"/>
      <c r="O525" s="63"/>
      <c r="P525" s="63"/>
      <c r="Q525" s="63">
        <f t="shared" si="27"/>
        <v>271.39999999999998</v>
      </c>
      <c r="R525" s="63">
        <f t="shared" si="28"/>
        <v>0</v>
      </c>
      <c r="S525" s="63">
        <f t="shared" si="29"/>
        <v>271.39999999999998</v>
      </c>
    </row>
    <row r="526" spans="1:19" x14ac:dyDescent="0.2">
      <c r="A526" s="68">
        <v>132171</v>
      </c>
      <c r="B526" s="85" t="s">
        <v>6802</v>
      </c>
      <c r="C526" s="76">
        <v>354</v>
      </c>
      <c r="D526" s="86" t="s">
        <v>6803</v>
      </c>
      <c r="E526" s="86" t="s">
        <v>19</v>
      </c>
      <c r="F526" s="87">
        <v>42650</v>
      </c>
      <c r="G526" s="83">
        <f>100.63</f>
        <v>100.63</v>
      </c>
      <c r="H526" s="96"/>
      <c r="K526" s="133"/>
      <c r="L526" s="63"/>
      <c r="M526" s="63"/>
      <c r="N526" s="63"/>
      <c r="O526" s="63"/>
      <c r="P526" s="63"/>
      <c r="Q526" s="63">
        <f t="shared" si="27"/>
        <v>100.63</v>
      </c>
      <c r="R526" s="63">
        <f t="shared" si="28"/>
        <v>0</v>
      </c>
      <c r="S526" s="63">
        <f t="shared" si="29"/>
        <v>100.63</v>
      </c>
    </row>
    <row r="527" spans="1:19" x14ac:dyDescent="0.2">
      <c r="A527" s="68">
        <v>132171</v>
      </c>
      <c r="B527" s="85" t="s">
        <v>6802</v>
      </c>
      <c r="C527" s="76">
        <v>354</v>
      </c>
      <c r="D527" s="86" t="s">
        <v>6804</v>
      </c>
      <c r="E527" s="86" t="s">
        <v>19</v>
      </c>
      <c r="F527" s="87">
        <v>42650</v>
      </c>
      <c r="G527" s="83">
        <f>88.38</f>
        <v>88.38</v>
      </c>
      <c r="H527" s="96"/>
      <c r="K527" s="133"/>
      <c r="L527" s="63"/>
      <c r="M527" s="63"/>
      <c r="N527" s="63"/>
      <c r="O527" s="63"/>
      <c r="P527" s="63"/>
      <c r="Q527" s="63">
        <f t="shared" si="27"/>
        <v>88.38</v>
      </c>
      <c r="R527" s="63">
        <f t="shared" si="28"/>
        <v>0</v>
      </c>
      <c r="S527" s="63">
        <f t="shared" si="29"/>
        <v>88.38</v>
      </c>
    </row>
    <row r="528" spans="1:19" x14ac:dyDescent="0.2">
      <c r="A528" s="68">
        <v>132171</v>
      </c>
      <c r="B528" s="85" t="s">
        <v>6802</v>
      </c>
      <c r="C528" s="76">
        <v>354</v>
      </c>
      <c r="D528" s="86" t="s">
        <v>6805</v>
      </c>
      <c r="E528" s="86" t="s">
        <v>19</v>
      </c>
      <c r="F528" s="87">
        <v>42650</v>
      </c>
      <c r="G528" s="83"/>
      <c r="H528" s="96"/>
      <c r="K528" s="133"/>
      <c r="L528" s="63"/>
      <c r="M528" s="63"/>
      <c r="N528" s="63"/>
      <c r="O528" s="63"/>
      <c r="P528" s="63"/>
      <c r="Q528" s="63">
        <f t="shared" si="27"/>
        <v>0</v>
      </c>
      <c r="R528" s="63">
        <f t="shared" si="28"/>
        <v>0</v>
      </c>
      <c r="S528" s="63">
        <f t="shared" si="29"/>
        <v>0</v>
      </c>
    </row>
    <row r="529" spans="1:19" x14ac:dyDescent="0.2">
      <c r="A529" s="68">
        <v>143495</v>
      </c>
      <c r="B529" s="68" t="s">
        <v>6806</v>
      </c>
      <c r="C529" s="76">
        <v>355</v>
      </c>
      <c r="D529" s="86" t="s">
        <v>6807</v>
      </c>
      <c r="E529" s="86" t="s">
        <v>19</v>
      </c>
      <c r="F529" s="87">
        <v>42650</v>
      </c>
      <c r="G529" s="83">
        <f>1418+1245.07</f>
        <v>2663.0699999999997</v>
      </c>
      <c r="H529" s="96"/>
      <c r="K529" s="133"/>
      <c r="L529" s="63"/>
      <c r="M529" s="63">
        <v>3950</v>
      </c>
      <c r="N529" s="63"/>
      <c r="O529" s="63"/>
      <c r="P529" s="63">
        <v>15800</v>
      </c>
      <c r="Q529" s="63">
        <f t="shared" si="27"/>
        <v>6613.07</v>
      </c>
      <c r="R529" s="63">
        <f t="shared" si="28"/>
        <v>15800</v>
      </c>
      <c r="S529" s="63">
        <f t="shared" si="29"/>
        <v>22413.07</v>
      </c>
    </row>
    <row r="530" spans="1:19" x14ac:dyDescent="0.2">
      <c r="A530" s="68">
        <v>137695</v>
      </c>
      <c r="B530" s="68" t="s">
        <v>6808</v>
      </c>
      <c r="C530" s="76">
        <v>356</v>
      </c>
      <c r="D530" s="72" t="s">
        <v>6809</v>
      </c>
      <c r="E530" s="86" t="s">
        <v>19</v>
      </c>
      <c r="F530" s="87">
        <v>42652</v>
      </c>
      <c r="G530" s="83">
        <f>41.3+41.3+528.54+151.9+69.5+41.3+481.3+155.44+119.77+41.3+49.93+76.58+590+2514.33+2200+558+75.83+236.6+139.22+353.75+189.97</f>
        <v>8655.8599999999988</v>
      </c>
      <c r="H530" s="96"/>
      <c r="I530" s="63">
        <f>2125+1926.67</f>
        <v>4051.67</v>
      </c>
      <c r="K530" s="133"/>
      <c r="L530" s="63"/>
      <c r="M530" s="63"/>
      <c r="N530" s="63"/>
      <c r="O530" s="63"/>
      <c r="P530" s="63"/>
      <c r="Q530" s="63">
        <f t="shared" si="27"/>
        <v>12707.529999999999</v>
      </c>
      <c r="R530" s="63">
        <f t="shared" si="28"/>
        <v>0</v>
      </c>
      <c r="S530" s="63">
        <f t="shared" si="29"/>
        <v>12707.529999999999</v>
      </c>
    </row>
    <row r="531" spans="1:19" x14ac:dyDescent="0.2">
      <c r="A531" s="68">
        <v>137695</v>
      </c>
      <c r="B531" s="68" t="s">
        <v>6808</v>
      </c>
      <c r="C531" s="76">
        <v>356</v>
      </c>
      <c r="D531" s="72" t="s">
        <v>6810</v>
      </c>
      <c r="E531" s="86" t="s">
        <v>19</v>
      </c>
      <c r="F531" s="87">
        <v>42652</v>
      </c>
      <c r="G531" s="83">
        <v>81.8</v>
      </c>
      <c r="H531" s="96"/>
      <c r="K531" s="133"/>
      <c r="L531" s="63"/>
      <c r="M531" s="63"/>
      <c r="N531" s="63"/>
      <c r="O531" s="63"/>
      <c r="P531" s="63"/>
      <c r="Q531" s="63">
        <f t="shared" si="27"/>
        <v>81.8</v>
      </c>
      <c r="R531" s="63">
        <f t="shared" si="28"/>
        <v>0</v>
      </c>
      <c r="S531" s="63">
        <f t="shared" si="29"/>
        <v>81.8</v>
      </c>
    </row>
    <row r="532" spans="1:19" x14ac:dyDescent="0.2">
      <c r="A532" s="68">
        <v>137695</v>
      </c>
      <c r="B532" s="68" t="s">
        <v>6808</v>
      </c>
      <c r="C532" s="76">
        <v>356</v>
      </c>
      <c r="D532" s="72" t="s">
        <v>6811</v>
      </c>
      <c r="E532" s="86" t="s">
        <v>19</v>
      </c>
      <c r="F532" s="87">
        <v>42652</v>
      </c>
      <c r="G532" s="83">
        <v>41.5</v>
      </c>
      <c r="H532" s="96"/>
      <c r="K532" s="133"/>
      <c r="L532" s="63"/>
      <c r="M532" s="63"/>
      <c r="N532" s="63"/>
      <c r="O532" s="63"/>
      <c r="P532" s="63"/>
      <c r="Q532" s="63">
        <f t="shared" si="27"/>
        <v>41.5</v>
      </c>
      <c r="R532" s="63">
        <f t="shared" si="28"/>
        <v>0</v>
      </c>
      <c r="S532" s="63">
        <f t="shared" si="29"/>
        <v>41.5</v>
      </c>
    </row>
    <row r="533" spans="1:19" x14ac:dyDescent="0.2">
      <c r="A533" s="68">
        <v>137695</v>
      </c>
      <c r="B533" s="68" t="s">
        <v>6808</v>
      </c>
      <c r="C533" s="76">
        <v>356</v>
      </c>
      <c r="D533" s="72" t="s">
        <v>6979</v>
      </c>
      <c r="E533" s="86" t="s">
        <v>19</v>
      </c>
      <c r="F533" s="87">
        <v>42652</v>
      </c>
      <c r="G533" s="83">
        <v>138.6</v>
      </c>
      <c r="H533" s="96"/>
      <c r="K533" s="133"/>
      <c r="L533" s="63"/>
      <c r="M533" s="63"/>
      <c r="N533" s="63"/>
      <c r="O533" s="63"/>
      <c r="P533" s="63"/>
      <c r="Q533" s="63">
        <f t="shared" si="27"/>
        <v>138.6</v>
      </c>
      <c r="R533" s="63">
        <f t="shared" si="28"/>
        <v>0</v>
      </c>
      <c r="S533" s="63">
        <f t="shared" si="29"/>
        <v>138.6</v>
      </c>
    </row>
    <row r="534" spans="1:19" x14ac:dyDescent="0.2">
      <c r="A534" s="68">
        <v>137695</v>
      </c>
      <c r="B534" s="68" t="s">
        <v>6808</v>
      </c>
      <c r="C534" s="76">
        <v>356</v>
      </c>
      <c r="D534" s="72" t="s">
        <v>6812</v>
      </c>
      <c r="E534" s="86" t="s">
        <v>19</v>
      </c>
      <c r="F534" s="87">
        <v>42652</v>
      </c>
      <c r="G534" s="83">
        <f>227.61+87.57+76.95+107.1+59</f>
        <v>558.23</v>
      </c>
      <c r="H534" s="96"/>
      <c r="I534" s="63">
        <v>850</v>
      </c>
      <c r="K534" s="133"/>
      <c r="L534" s="63"/>
      <c r="M534" s="63"/>
      <c r="N534" s="63"/>
      <c r="O534" s="63"/>
      <c r="P534" s="63"/>
      <c r="Q534" s="63">
        <f t="shared" si="27"/>
        <v>1408.23</v>
      </c>
      <c r="R534" s="63">
        <f t="shared" si="28"/>
        <v>0</v>
      </c>
      <c r="S534" s="63">
        <f t="shared" si="29"/>
        <v>1408.23</v>
      </c>
    </row>
    <row r="535" spans="1:19" x14ac:dyDescent="0.2">
      <c r="A535" s="68">
        <v>137695</v>
      </c>
      <c r="B535" s="68" t="s">
        <v>6808</v>
      </c>
      <c r="C535" s="76">
        <v>356</v>
      </c>
      <c r="D535" s="72" t="s">
        <v>6813</v>
      </c>
      <c r="E535" s="86" t="s">
        <v>19</v>
      </c>
      <c r="F535" s="87">
        <v>42652</v>
      </c>
      <c r="G535" s="83">
        <f>61.96+164.99+134.59+141</f>
        <v>502.54</v>
      </c>
      <c r="H535" s="96"/>
      <c r="K535" s="133"/>
      <c r="L535" s="63"/>
      <c r="M535" s="63"/>
      <c r="N535" s="63"/>
      <c r="O535" s="63"/>
      <c r="P535" s="63"/>
      <c r="Q535" s="63">
        <f t="shared" si="27"/>
        <v>502.54</v>
      </c>
      <c r="R535" s="63">
        <f t="shared" si="28"/>
        <v>0</v>
      </c>
      <c r="S535" s="63">
        <f t="shared" si="29"/>
        <v>502.54</v>
      </c>
    </row>
    <row r="536" spans="1:19" x14ac:dyDescent="0.2">
      <c r="A536" s="68">
        <v>137695</v>
      </c>
      <c r="B536" s="68" t="s">
        <v>6808</v>
      </c>
      <c r="C536" s="76">
        <v>356</v>
      </c>
      <c r="D536" s="72" t="s">
        <v>6814</v>
      </c>
      <c r="E536" s="86" t="s">
        <v>19</v>
      </c>
      <c r="F536" s="87">
        <v>42652</v>
      </c>
      <c r="G536" s="83">
        <v>40.9</v>
      </c>
      <c r="H536" s="96"/>
      <c r="K536" s="133"/>
      <c r="L536" s="63"/>
      <c r="M536" s="63"/>
      <c r="N536" s="63"/>
      <c r="O536" s="63"/>
      <c r="P536" s="63"/>
      <c r="Q536" s="63">
        <f t="shared" si="27"/>
        <v>40.9</v>
      </c>
      <c r="R536" s="63">
        <f t="shared" si="28"/>
        <v>0</v>
      </c>
      <c r="S536" s="63">
        <f t="shared" si="29"/>
        <v>40.9</v>
      </c>
    </row>
    <row r="537" spans="1:19" x14ac:dyDescent="0.2">
      <c r="A537" s="68">
        <v>137695</v>
      </c>
      <c r="B537" s="68" t="s">
        <v>6808</v>
      </c>
      <c r="C537" s="76">
        <v>356</v>
      </c>
      <c r="D537" s="72" t="s">
        <v>6815</v>
      </c>
      <c r="E537" s="86" t="s">
        <v>19</v>
      </c>
      <c r="F537" s="87">
        <v>42652</v>
      </c>
      <c r="G537" s="83">
        <v>40</v>
      </c>
      <c r="H537" s="96"/>
      <c r="K537" s="133"/>
      <c r="L537" s="63"/>
      <c r="M537" s="63"/>
      <c r="N537" s="63"/>
      <c r="O537" s="63"/>
      <c r="P537" s="63"/>
      <c r="Q537" s="63">
        <f t="shared" si="27"/>
        <v>40</v>
      </c>
      <c r="R537" s="63">
        <f t="shared" si="28"/>
        <v>0</v>
      </c>
      <c r="S537" s="63">
        <f t="shared" si="29"/>
        <v>40</v>
      </c>
    </row>
    <row r="538" spans="1:19" x14ac:dyDescent="0.2">
      <c r="A538" s="68">
        <v>129677</v>
      </c>
      <c r="B538" s="68" t="s">
        <v>6816</v>
      </c>
      <c r="C538" s="76">
        <v>357</v>
      </c>
      <c r="D538" s="72" t="s">
        <v>6817</v>
      </c>
      <c r="E538" s="86" t="s">
        <v>19</v>
      </c>
      <c r="F538" s="87">
        <v>42654</v>
      </c>
      <c r="G538" s="83">
        <v>137.53</v>
      </c>
      <c r="H538" s="96"/>
      <c r="K538" s="133"/>
      <c r="L538" s="63"/>
      <c r="M538" s="63"/>
      <c r="N538" s="63"/>
      <c r="O538" s="63"/>
      <c r="P538" s="63"/>
      <c r="Q538" s="63">
        <f t="shared" si="27"/>
        <v>137.53</v>
      </c>
      <c r="R538" s="63">
        <f t="shared" si="28"/>
        <v>0</v>
      </c>
      <c r="S538" s="63">
        <f t="shared" si="29"/>
        <v>137.53</v>
      </c>
    </row>
    <row r="539" spans="1:19" x14ac:dyDescent="0.2">
      <c r="A539" s="68">
        <v>126260</v>
      </c>
      <c r="B539" s="68" t="s">
        <v>6818</v>
      </c>
      <c r="C539" s="76">
        <v>358</v>
      </c>
      <c r="D539" s="72" t="s">
        <v>6819</v>
      </c>
      <c r="E539" s="86" t="s">
        <v>19</v>
      </c>
      <c r="F539" s="87">
        <v>42655</v>
      </c>
      <c r="G539" s="83">
        <f>83+127.88+341.36+164.99+261.3+167.16+168.7+150.58+164.99+168.7+46.31+73.93+195.3+481.3</f>
        <v>2595.5000000000005</v>
      </c>
      <c r="H539" s="96"/>
      <c r="I539" s="63">
        <f>566.67</f>
        <v>566.66999999999996</v>
      </c>
      <c r="K539" s="133"/>
      <c r="L539" s="63"/>
      <c r="M539" s="63"/>
      <c r="N539" s="63"/>
      <c r="O539" s="63"/>
      <c r="P539" s="63"/>
      <c r="Q539" s="63">
        <f t="shared" si="27"/>
        <v>3162.1700000000005</v>
      </c>
      <c r="R539" s="63">
        <f t="shared" si="28"/>
        <v>0</v>
      </c>
      <c r="S539" s="63">
        <f t="shared" si="29"/>
        <v>3162.1700000000005</v>
      </c>
    </row>
    <row r="540" spans="1:19" x14ac:dyDescent="0.2">
      <c r="A540" s="68">
        <v>140914</v>
      </c>
      <c r="B540" s="68" t="s">
        <v>6820</v>
      </c>
      <c r="C540" s="76">
        <v>359</v>
      </c>
      <c r="D540" s="72" t="s">
        <v>6821</v>
      </c>
      <c r="E540" s="86" t="s">
        <v>19</v>
      </c>
      <c r="F540" s="87">
        <v>42656</v>
      </c>
      <c r="G540" s="83">
        <f>202.11+331.3+80.33+41.3+968.31+107.64+80+73+126.63+75.88+130.65+223.49+41.3+116.62+41.3+41.3</f>
        <v>2681.1600000000008</v>
      </c>
      <c r="H540" s="96"/>
      <c r="I540" s="63">
        <f>850+878.33+283.33</f>
        <v>2011.6599999999999</v>
      </c>
      <c r="K540" s="133"/>
      <c r="L540" s="63"/>
      <c r="M540" s="63"/>
      <c r="N540" s="63"/>
      <c r="O540" s="63"/>
      <c r="P540" s="63"/>
      <c r="Q540" s="63">
        <f t="shared" si="27"/>
        <v>4692.8200000000006</v>
      </c>
      <c r="R540" s="63">
        <f t="shared" si="28"/>
        <v>0</v>
      </c>
      <c r="S540" s="63">
        <f t="shared" si="29"/>
        <v>4692.8200000000006</v>
      </c>
    </row>
    <row r="541" spans="1:19" x14ac:dyDescent="0.2">
      <c r="A541" s="68">
        <v>136983</v>
      </c>
      <c r="B541" s="85" t="s">
        <v>6822</v>
      </c>
      <c r="C541" s="76">
        <v>360</v>
      </c>
      <c r="D541" s="72" t="s">
        <v>6823</v>
      </c>
      <c r="E541" s="86" t="s">
        <v>19</v>
      </c>
      <c r="F541" s="87">
        <v>42656</v>
      </c>
      <c r="G541" s="83">
        <f>47.2</f>
        <v>47.2</v>
      </c>
      <c r="H541" s="96"/>
      <c r="K541" s="133"/>
      <c r="L541" s="63"/>
      <c r="M541" s="63"/>
      <c r="N541" s="63"/>
      <c r="O541" s="63"/>
      <c r="P541" s="63"/>
      <c r="Q541" s="63">
        <f t="shared" si="27"/>
        <v>47.2</v>
      </c>
      <c r="R541" s="63">
        <f t="shared" si="28"/>
        <v>0</v>
      </c>
      <c r="S541" s="63">
        <f t="shared" si="29"/>
        <v>47.2</v>
      </c>
    </row>
    <row r="542" spans="1:19" x14ac:dyDescent="0.2">
      <c r="A542" s="68">
        <v>132905</v>
      </c>
      <c r="B542" s="85" t="s">
        <v>6824</v>
      </c>
      <c r="C542" s="76">
        <v>361</v>
      </c>
      <c r="D542" s="72" t="s">
        <v>6825</v>
      </c>
      <c r="E542" s="86" t="s">
        <v>19</v>
      </c>
      <c r="F542" s="87">
        <v>42656</v>
      </c>
      <c r="G542" s="83">
        <v>501.15</v>
      </c>
      <c r="H542" s="96"/>
      <c r="K542" s="133"/>
      <c r="L542" s="63"/>
      <c r="M542" s="63"/>
      <c r="N542" s="63"/>
      <c r="O542" s="63"/>
      <c r="P542" s="63"/>
      <c r="Q542" s="63">
        <f t="shared" si="27"/>
        <v>501.15</v>
      </c>
      <c r="R542" s="63">
        <f t="shared" si="28"/>
        <v>0</v>
      </c>
      <c r="S542" s="63">
        <f t="shared" si="29"/>
        <v>501.15</v>
      </c>
    </row>
    <row r="543" spans="1:19" x14ac:dyDescent="0.2">
      <c r="A543" s="68">
        <v>143933</v>
      </c>
      <c r="B543" s="68" t="s">
        <v>6839</v>
      </c>
      <c r="C543" s="76">
        <v>362</v>
      </c>
      <c r="D543" s="72" t="s">
        <v>6826</v>
      </c>
      <c r="E543" s="86" t="s">
        <v>19</v>
      </c>
      <c r="F543" s="87">
        <v>42657</v>
      </c>
      <c r="G543" s="83">
        <f>160.01</f>
        <v>160.01</v>
      </c>
      <c r="H543" s="96"/>
      <c r="K543" s="133"/>
      <c r="L543" s="63"/>
      <c r="M543" s="63"/>
      <c r="N543" s="63"/>
      <c r="O543" s="63"/>
      <c r="P543" s="63"/>
      <c r="Q543" s="63">
        <f t="shared" ref="Q543:Q606" si="30">+G543+I543+K543+M543+O543</f>
        <v>160.01</v>
      </c>
      <c r="R543" s="63">
        <f t="shared" ref="R543:R606" si="31">+H543+J543+L543+N543+P543</f>
        <v>0</v>
      </c>
      <c r="S543" s="63">
        <f t="shared" ref="S543:S606" si="32">+Q543+R543</f>
        <v>160.01</v>
      </c>
    </row>
    <row r="544" spans="1:19" x14ac:dyDescent="0.2">
      <c r="A544" s="68">
        <v>140393</v>
      </c>
      <c r="B544" s="68" t="s">
        <v>6840</v>
      </c>
      <c r="C544" s="76">
        <v>363</v>
      </c>
      <c r="D544" s="72" t="s">
        <v>6827</v>
      </c>
      <c r="E544" s="86" t="s">
        <v>19</v>
      </c>
      <c r="F544" s="87">
        <v>42657</v>
      </c>
      <c r="G544" s="83">
        <v>80.599999999999994</v>
      </c>
      <c r="H544" s="96"/>
      <c r="K544" s="133"/>
      <c r="L544" s="63"/>
      <c r="M544" s="63"/>
      <c r="N544" s="63"/>
      <c r="O544" s="63"/>
      <c r="P544" s="63"/>
      <c r="Q544" s="63">
        <f t="shared" si="30"/>
        <v>80.599999999999994</v>
      </c>
      <c r="R544" s="63">
        <f t="shared" si="31"/>
        <v>0</v>
      </c>
      <c r="S544" s="63">
        <f t="shared" si="32"/>
        <v>80.599999999999994</v>
      </c>
    </row>
    <row r="545" spans="1:19" x14ac:dyDescent="0.2">
      <c r="A545" s="68">
        <v>131225</v>
      </c>
      <c r="B545" s="68" t="s">
        <v>6841</v>
      </c>
      <c r="C545" s="76">
        <v>364</v>
      </c>
      <c r="D545" s="72" t="s">
        <v>6878</v>
      </c>
      <c r="E545" s="86" t="s">
        <v>19</v>
      </c>
      <c r="F545" s="87">
        <v>42658</v>
      </c>
      <c r="G545" s="83">
        <v>544.1</v>
      </c>
      <c r="H545" s="96"/>
      <c r="K545" s="133"/>
      <c r="L545" s="63"/>
      <c r="M545" s="63"/>
      <c r="N545" s="63"/>
      <c r="O545" s="63"/>
      <c r="P545" s="63"/>
      <c r="Q545" s="63">
        <f t="shared" si="30"/>
        <v>544.1</v>
      </c>
      <c r="R545" s="63">
        <f t="shared" si="31"/>
        <v>0</v>
      </c>
      <c r="S545" s="63">
        <f t="shared" si="32"/>
        <v>544.1</v>
      </c>
    </row>
    <row r="546" spans="1:19" x14ac:dyDescent="0.2">
      <c r="A546" s="68">
        <v>141643</v>
      </c>
      <c r="B546" s="68" t="s">
        <v>6842</v>
      </c>
      <c r="C546" s="76">
        <v>365</v>
      </c>
      <c r="D546" s="72" t="s">
        <v>6828</v>
      </c>
      <c r="E546" s="86" t="s">
        <v>19</v>
      </c>
      <c r="F546" s="87">
        <v>42658</v>
      </c>
      <c r="G546" s="83">
        <f>174.94</f>
        <v>174.94</v>
      </c>
      <c r="H546" s="96"/>
      <c r="K546" s="133"/>
      <c r="L546" s="63"/>
      <c r="M546" s="63"/>
      <c r="N546" s="63"/>
      <c r="O546" s="63"/>
      <c r="P546" s="63"/>
      <c r="Q546" s="63">
        <f t="shared" si="30"/>
        <v>174.94</v>
      </c>
      <c r="R546" s="63">
        <f t="shared" si="31"/>
        <v>0</v>
      </c>
      <c r="S546" s="63">
        <f t="shared" si="32"/>
        <v>174.94</v>
      </c>
    </row>
    <row r="547" spans="1:19" x14ac:dyDescent="0.2">
      <c r="A547" s="68">
        <v>144398</v>
      </c>
      <c r="B547" s="68" t="s">
        <v>6843</v>
      </c>
      <c r="C547" s="76">
        <v>366</v>
      </c>
      <c r="D547" s="72" t="s">
        <v>6829</v>
      </c>
      <c r="E547" s="86" t="s">
        <v>19</v>
      </c>
      <c r="F547" s="87">
        <v>42658</v>
      </c>
      <c r="G547" s="83">
        <f>78.47+160.25+107.34+218.75+41.3+181.7+118.06+269+318.86+225+41.3+348.1+348.1+225+277.56+100.84+41.3+558+800</f>
        <v>4458.93</v>
      </c>
      <c r="H547" s="96"/>
      <c r="I547" s="63">
        <f>1700+1700</f>
        <v>3400</v>
      </c>
      <c r="K547" s="133"/>
      <c r="L547" s="63"/>
      <c r="M547" s="63"/>
      <c r="N547" s="63"/>
      <c r="O547" s="63"/>
      <c r="P547" s="63"/>
      <c r="Q547" s="63">
        <f t="shared" si="30"/>
        <v>7858.93</v>
      </c>
      <c r="R547" s="63">
        <f t="shared" si="31"/>
        <v>0</v>
      </c>
      <c r="S547" s="63">
        <f t="shared" si="32"/>
        <v>7858.93</v>
      </c>
    </row>
    <row r="548" spans="1:19" x14ac:dyDescent="0.2">
      <c r="A548" s="68">
        <v>145651</v>
      </c>
      <c r="B548" s="68" t="s">
        <v>6844</v>
      </c>
      <c r="C548" s="76">
        <v>367</v>
      </c>
      <c r="D548" s="72" t="s">
        <v>6830</v>
      </c>
      <c r="E548" s="86" t="s">
        <v>19</v>
      </c>
      <c r="F548" s="87">
        <v>42660</v>
      </c>
      <c r="G548" s="83">
        <f>107.55</f>
        <v>107.55</v>
      </c>
      <c r="H548" s="96"/>
      <c r="K548" s="133"/>
      <c r="L548" s="63"/>
      <c r="M548" s="63"/>
      <c r="N548" s="63"/>
      <c r="O548" s="63"/>
      <c r="P548" s="63"/>
      <c r="Q548" s="63">
        <f t="shared" si="30"/>
        <v>107.55</v>
      </c>
      <c r="R548" s="63">
        <f t="shared" si="31"/>
        <v>0</v>
      </c>
      <c r="S548" s="63">
        <f t="shared" si="32"/>
        <v>107.55</v>
      </c>
    </row>
    <row r="549" spans="1:19" x14ac:dyDescent="0.2">
      <c r="A549" s="68">
        <v>145641</v>
      </c>
      <c r="B549" s="68" t="s">
        <v>6844</v>
      </c>
      <c r="C549" s="76">
        <v>367</v>
      </c>
      <c r="D549" s="72" t="s">
        <v>6831</v>
      </c>
      <c r="E549" s="86" t="s">
        <v>19</v>
      </c>
      <c r="F549" s="87">
        <v>42660</v>
      </c>
      <c r="G549" s="83">
        <v>322.54000000000002</v>
      </c>
      <c r="H549" s="96"/>
      <c r="K549" s="133"/>
      <c r="L549" s="63"/>
      <c r="M549" s="63"/>
      <c r="N549" s="63"/>
      <c r="O549" s="63"/>
      <c r="P549" s="63"/>
      <c r="Q549" s="63">
        <f t="shared" si="30"/>
        <v>322.54000000000002</v>
      </c>
      <c r="R549" s="63">
        <f t="shared" si="31"/>
        <v>0</v>
      </c>
      <c r="S549" s="63">
        <f t="shared" si="32"/>
        <v>322.54000000000002</v>
      </c>
    </row>
    <row r="550" spans="1:19" x14ac:dyDescent="0.2">
      <c r="A550" s="68">
        <v>141612</v>
      </c>
      <c r="B550" s="68" t="s">
        <v>6845</v>
      </c>
      <c r="C550" s="76">
        <v>368</v>
      </c>
      <c r="D550" s="72" t="s">
        <v>6832</v>
      </c>
      <c r="E550" s="86" t="s">
        <v>19</v>
      </c>
      <c r="F550" s="87">
        <v>42661</v>
      </c>
      <c r="G550" s="83">
        <f>156.41</f>
        <v>156.41</v>
      </c>
      <c r="H550" s="96"/>
      <c r="K550" s="133"/>
      <c r="L550" s="63"/>
      <c r="M550" s="63"/>
      <c r="N550" s="63"/>
      <c r="O550" s="63"/>
      <c r="P550" s="63"/>
      <c r="Q550" s="63">
        <f t="shared" si="30"/>
        <v>156.41</v>
      </c>
      <c r="R550" s="63">
        <f t="shared" si="31"/>
        <v>0</v>
      </c>
      <c r="S550" s="63">
        <f t="shared" si="32"/>
        <v>156.41</v>
      </c>
    </row>
    <row r="551" spans="1:19" x14ac:dyDescent="0.2">
      <c r="A551" s="68">
        <v>142982</v>
      </c>
      <c r="B551" s="68" t="s">
        <v>6846</v>
      </c>
      <c r="C551" s="76">
        <v>369</v>
      </c>
      <c r="D551" s="72" t="s">
        <v>6833</v>
      </c>
      <c r="E551" s="86" t="s">
        <v>19</v>
      </c>
      <c r="F551" s="87">
        <v>42662</v>
      </c>
      <c r="G551" s="83">
        <v>156.9</v>
      </c>
      <c r="H551" s="96"/>
      <c r="K551" s="133"/>
      <c r="L551" s="63"/>
      <c r="M551" s="63"/>
      <c r="N551" s="63"/>
      <c r="O551" s="63"/>
      <c r="P551" s="63"/>
      <c r="Q551" s="63">
        <f t="shared" si="30"/>
        <v>156.9</v>
      </c>
      <c r="R551" s="63">
        <f t="shared" si="31"/>
        <v>0</v>
      </c>
      <c r="S551" s="63">
        <f t="shared" si="32"/>
        <v>156.9</v>
      </c>
    </row>
    <row r="552" spans="1:19" x14ac:dyDescent="0.2">
      <c r="A552" s="68">
        <v>130254</v>
      </c>
      <c r="B552" s="68" t="s">
        <v>6847</v>
      </c>
      <c r="C552" s="76">
        <v>370</v>
      </c>
      <c r="D552" s="72" t="s">
        <v>6834</v>
      </c>
      <c r="E552" s="86" t="s">
        <v>19</v>
      </c>
      <c r="F552" s="87">
        <v>42662</v>
      </c>
      <c r="G552" s="83">
        <v>229.62</v>
      </c>
      <c r="H552" s="96"/>
      <c r="K552" s="133"/>
      <c r="L552" s="63"/>
      <c r="M552" s="63"/>
      <c r="N552" s="63"/>
      <c r="O552" s="63"/>
      <c r="P552" s="63"/>
      <c r="Q552" s="63">
        <f t="shared" si="30"/>
        <v>229.62</v>
      </c>
      <c r="R552" s="63">
        <f t="shared" si="31"/>
        <v>0</v>
      </c>
      <c r="S552" s="63">
        <f t="shared" si="32"/>
        <v>229.62</v>
      </c>
    </row>
    <row r="553" spans="1:19" x14ac:dyDescent="0.2">
      <c r="A553" s="68">
        <v>133592</v>
      </c>
      <c r="B553" s="68" t="s">
        <v>6848</v>
      </c>
      <c r="C553" s="76">
        <v>371</v>
      </c>
      <c r="D553" s="72" t="s">
        <v>6835</v>
      </c>
      <c r="E553" s="86" t="s">
        <v>19</v>
      </c>
      <c r="F553" s="87">
        <v>42663</v>
      </c>
      <c r="G553" s="83">
        <v>70.900000000000006</v>
      </c>
      <c r="H553" s="96"/>
      <c r="K553" s="133"/>
      <c r="L553" s="63"/>
      <c r="M553" s="63"/>
      <c r="N553" s="63"/>
      <c r="O553" s="63"/>
      <c r="P553" s="63"/>
      <c r="Q553" s="63">
        <f t="shared" si="30"/>
        <v>70.900000000000006</v>
      </c>
      <c r="R553" s="63">
        <f t="shared" si="31"/>
        <v>0</v>
      </c>
      <c r="S553" s="63">
        <f t="shared" si="32"/>
        <v>70.900000000000006</v>
      </c>
    </row>
    <row r="554" spans="1:19" x14ac:dyDescent="0.2">
      <c r="A554" s="68">
        <v>133592</v>
      </c>
      <c r="B554" s="68" t="s">
        <v>6848</v>
      </c>
      <c r="C554" s="76">
        <v>371</v>
      </c>
      <c r="D554" s="72" t="s">
        <v>6836</v>
      </c>
      <c r="E554" s="86" t="s">
        <v>19</v>
      </c>
      <c r="F554" s="87">
        <v>42663</v>
      </c>
      <c r="G554" s="83">
        <v>40</v>
      </c>
      <c r="H554" s="96"/>
      <c r="K554" s="133"/>
      <c r="L554" s="63"/>
      <c r="M554" s="63"/>
      <c r="N554" s="63"/>
      <c r="O554" s="63"/>
      <c r="P554" s="63"/>
      <c r="Q554" s="63">
        <f t="shared" si="30"/>
        <v>40</v>
      </c>
      <c r="R554" s="63">
        <f t="shared" si="31"/>
        <v>0</v>
      </c>
      <c r="S554" s="63">
        <f t="shared" si="32"/>
        <v>40</v>
      </c>
    </row>
    <row r="555" spans="1:19" x14ac:dyDescent="0.2">
      <c r="A555" s="68">
        <v>133592</v>
      </c>
      <c r="B555" s="68" t="s">
        <v>6848</v>
      </c>
      <c r="C555" s="76">
        <v>371</v>
      </c>
      <c r="D555" s="72" t="s">
        <v>6837</v>
      </c>
      <c r="E555" s="86" t="s">
        <v>19</v>
      </c>
      <c r="F555" s="87">
        <v>42663</v>
      </c>
      <c r="G555" s="83">
        <v>70.5</v>
      </c>
      <c r="H555" s="96"/>
      <c r="K555" s="133"/>
      <c r="L555" s="63"/>
      <c r="M555" s="63"/>
      <c r="N555" s="63"/>
      <c r="O555" s="63"/>
      <c r="P555" s="63"/>
      <c r="Q555" s="63">
        <f t="shared" si="30"/>
        <v>70.5</v>
      </c>
      <c r="R555" s="63">
        <f t="shared" si="31"/>
        <v>0</v>
      </c>
      <c r="S555" s="63">
        <f t="shared" si="32"/>
        <v>70.5</v>
      </c>
    </row>
    <row r="556" spans="1:19" x14ac:dyDescent="0.2">
      <c r="A556" s="68">
        <v>133592</v>
      </c>
      <c r="B556" s="68" t="s">
        <v>6848</v>
      </c>
      <c r="C556" s="76">
        <v>371</v>
      </c>
      <c r="D556" s="72" t="s">
        <v>6838</v>
      </c>
      <c r="E556" s="86" t="s">
        <v>19</v>
      </c>
      <c r="F556" s="87">
        <v>42663</v>
      </c>
      <c r="G556" s="83">
        <v>70.599999999999994</v>
      </c>
      <c r="H556" s="96"/>
      <c r="K556" s="133"/>
      <c r="L556" s="63"/>
      <c r="M556" s="63"/>
      <c r="N556" s="63"/>
      <c r="O556" s="63"/>
      <c r="P556" s="63"/>
      <c r="Q556" s="63">
        <f t="shared" si="30"/>
        <v>70.599999999999994</v>
      </c>
      <c r="R556" s="63">
        <f t="shared" si="31"/>
        <v>0</v>
      </c>
      <c r="S556" s="63">
        <f t="shared" si="32"/>
        <v>70.599999999999994</v>
      </c>
    </row>
    <row r="557" spans="1:19" x14ac:dyDescent="0.2">
      <c r="A557" s="68">
        <v>143612</v>
      </c>
      <c r="B557" s="68" t="s">
        <v>6850</v>
      </c>
      <c r="C557" s="76">
        <v>372</v>
      </c>
      <c r="D557" s="72" t="s">
        <v>6851</v>
      </c>
      <c r="E557" s="86" t="s">
        <v>19</v>
      </c>
      <c r="F557" s="87">
        <v>42665</v>
      </c>
      <c r="G557" s="83">
        <f>243.11+140.66</f>
        <v>383.77</v>
      </c>
      <c r="H557" s="96"/>
      <c r="I557" s="63">
        <v>566.66999999999996</v>
      </c>
      <c r="K557" s="133"/>
      <c r="L557" s="63"/>
      <c r="M557" s="63"/>
      <c r="N557" s="63"/>
      <c r="O557" s="63"/>
      <c r="P557" s="63"/>
      <c r="Q557" s="63">
        <f t="shared" si="30"/>
        <v>950.43999999999994</v>
      </c>
      <c r="R557" s="63">
        <f t="shared" si="31"/>
        <v>0</v>
      </c>
      <c r="S557" s="63">
        <f t="shared" si="32"/>
        <v>950.43999999999994</v>
      </c>
    </row>
    <row r="558" spans="1:19" x14ac:dyDescent="0.2">
      <c r="A558" s="68">
        <v>143612</v>
      </c>
      <c r="B558" s="68" t="s">
        <v>6850</v>
      </c>
      <c r="C558" s="76">
        <v>372</v>
      </c>
      <c r="D558" s="72" t="s">
        <v>6852</v>
      </c>
      <c r="E558" s="86" t="s">
        <v>19</v>
      </c>
      <c r="F558" s="87">
        <v>42665</v>
      </c>
      <c r="G558" s="83">
        <f>266.39+166.26</f>
        <v>432.65</v>
      </c>
      <c r="H558" s="96"/>
      <c r="K558" s="133"/>
      <c r="L558" s="63"/>
      <c r="M558" s="63"/>
      <c r="N558" s="63"/>
      <c r="O558" s="63"/>
      <c r="P558" s="63"/>
      <c r="Q558" s="63">
        <f t="shared" si="30"/>
        <v>432.65</v>
      </c>
      <c r="R558" s="63">
        <f t="shared" si="31"/>
        <v>0</v>
      </c>
      <c r="S558" s="63">
        <f t="shared" si="32"/>
        <v>432.65</v>
      </c>
    </row>
    <row r="559" spans="1:19" x14ac:dyDescent="0.2">
      <c r="A559" s="68">
        <v>143612</v>
      </c>
      <c r="B559" s="68" t="s">
        <v>6850</v>
      </c>
      <c r="C559" s="76">
        <v>372</v>
      </c>
      <c r="D559" s="72" t="s">
        <v>6853</v>
      </c>
      <c r="E559" s="86" t="s">
        <v>19</v>
      </c>
      <c r="F559" s="87">
        <v>42665</v>
      </c>
      <c r="G559" s="83">
        <f>105.02</f>
        <v>105.02</v>
      </c>
      <c r="H559" s="96"/>
      <c r="K559" s="133"/>
      <c r="L559" s="63"/>
      <c r="M559" s="63"/>
      <c r="N559" s="63"/>
      <c r="O559" s="63"/>
      <c r="P559" s="63"/>
      <c r="Q559" s="63">
        <f t="shared" si="30"/>
        <v>105.02</v>
      </c>
      <c r="R559" s="63">
        <f t="shared" si="31"/>
        <v>0</v>
      </c>
      <c r="S559" s="63">
        <f t="shared" si="32"/>
        <v>105.02</v>
      </c>
    </row>
    <row r="560" spans="1:19" x14ac:dyDescent="0.2">
      <c r="A560" s="68">
        <v>129741</v>
      </c>
      <c r="B560" s="68" t="s">
        <v>6854</v>
      </c>
      <c r="C560" s="76">
        <v>373</v>
      </c>
      <c r="D560" s="72" t="s">
        <v>6855</v>
      </c>
      <c r="E560" s="86" t="s">
        <v>19</v>
      </c>
      <c r="F560" s="87">
        <v>42667</v>
      </c>
      <c r="G560" s="83">
        <v>166.1</v>
      </c>
      <c r="H560" s="96"/>
      <c r="K560" s="133"/>
      <c r="L560" s="63"/>
      <c r="M560" s="63"/>
      <c r="N560" s="63"/>
      <c r="O560" s="63"/>
      <c r="P560" s="63"/>
      <c r="Q560" s="63">
        <f t="shared" si="30"/>
        <v>166.1</v>
      </c>
      <c r="R560" s="63">
        <f t="shared" si="31"/>
        <v>0</v>
      </c>
      <c r="S560" s="63">
        <f t="shared" si="32"/>
        <v>166.1</v>
      </c>
    </row>
    <row r="561" spans="1:19" x14ac:dyDescent="0.2">
      <c r="A561" s="68">
        <v>128423</v>
      </c>
      <c r="B561" s="68" t="s">
        <v>6856</v>
      </c>
      <c r="C561" s="76">
        <v>374</v>
      </c>
      <c r="D561" s="72" t="s">
        <v>6857</v>
      </c>
      <c r="E561" s="86" t="s">
        <v>19</v>
      </c>
      <c r="F561" s="87">
        <v>42667</v>
      </c>
      <c r="G561" s="83">
        <v>195</v>
      </c>
      <c r="H561" s="96"/>
      <c r="K561" s="133"/>
      <c r="L561" s="63"/>
      <c r="M561" s="63"/>
      <c r="N561" s="63"/>
      <c r="O561" s="63"/>
      <c r="P561" s="63"/>
      <c r="Q561" s="63">
        <f t="shared" si="30"/>
        <v>195</v>
      </c>
      <c r="R561" s="63">
        <f t="shared" si="31"/>
        <v>0</v>
      </c>
      <c r="S561" s="63">
        <f t="shared" si="32"/>
        <v>195</v>
      </c>
    </row>
    <row r="562" spans="1:19" x14ac:dyDescent="0.2">
      <c r="A562" s="68">
        <v>127775</v>
      </c>
      <c r="B562" s="68" t="s">
        <v>6858</v>
      </c>
      <c r="C562" s="76">
        <v>375</v>
      </c>
      <c r="D562" s="72" t="s">
        <v>6859</v>
      </c>
      <c r="E562" s="86" t="s">
        <v>19</v>
      </c>
      <c r="F562" s="87">
        <v>42669</v>
      </c>
      <c r="G562" s="83">
        <f>394.39+158.3+190.4+429.09+142.12+124.73+128.85</f>
        <v>1567.88</v>
      </c>
      <c r="H562" s="96"/>
      <c r="I562" s="63">
        <v>3683.33</v>
      </c>
      <c r="K562" s="133"/>
      <c r="L562" s="63"/>
      <c r="M562" s="63"/>
      <c r="N562" s="63"/>
      <c r="O562" s="63"/>
      <c r="P562" s="63"/>
      <c r="Q562" s="63">
        <f t="shared" si="30"/>
        <v>5251.21</v>
      </c>
      <c r="R562" s="63">
        <f t="shared" si="31"/>
        <v>0</v>
      </c>
      <c r="S562" s="63">
        <f t="shared" si="32"/>
        <v>5251.21</v>
      </c>
    </row>
    <row r="563" spans="1:19" x14ac:dyDescent="0.2">
      <c r="A563" s="68">
        <v>144073</v>
      </c>
      <c r="B563" s="68" t="s">
        <v>6860</v>
      </c>
      <c r="C563" s="76">
        <v>376</v>
      </c>
      <c r="D563" s="72" t="s">
        <v>6861</v>
      </c>
      <c r="E563" s="86" t="s">
        <v>19</v>
      </c>
      <c r="F563" s="87">
        <v>42669</v>
      </c>
      <c r="G563" s="83">
        <v>132.30000000000001</v>
      </c>
      <c r="H563" s="96"/>
      <c r="K563" s="133"/>
      <c r="L563" s="63"/>
      <c r="M563" s="63"/>
      <c r="N563" s="63"/>
      <c r="O563" s="63"/>
      <c r="P563" s="63"/>
      <c r="Q563" s="63">
        <f t="shared" si="30"/>
        <v>132.30000000000001</v>
      </c>
      <c r="R563" s="63">
        <f t="shared" si="31"/>
        <v>0</v>
      </c>
      <c r="S563" s="63">
        <f t="shared" si="32"/>
        <v>132.30000000000001</v>
      </c>
    </row>
    <row r="564" spans="1:19" x14ac:dyDescent="0.2">
      <c r="A564" s="68">
        <v>127376</v>
      </c>
      <c r="B564" s="68" t="s">
        <v>6862</v>
      </c>
      <c r="C564" s="76">
        <v>377</v>
      </c>
      <c r="D564" s="72" t="s">
        <v>6863</v>
      </c>
      <c r="E564" s="86" t="s">
        <v>19</v>
      </c>
      <c r="F564" s="87">
        <v>42670</v>
      </c>
      <c r="G564" s="83">
        <f>209.92</f>
        <v>209.92</v>
      </c>
      <c r="H564" s="96"/>
      <c r="K564" s="133"/>
      <c r="L564" s="63"/>
      <c r="M564" s="63"/>
      <c r="N564" s="63"/>
      <c r="O564" s="63"/>
      <c r="P564" s="63"/>
      <c r="Q564" s="63">
        <f t="shared" si="30"/>
        <v>209.92</v>
      </c>
      <c r="R564" s="63">
        <f t="shared" si="31"/>
        <v>0</v>
      </c>
      <c r="S564" s="63">
        <f t="shared" si="32"/>
        <v>209.92</v>
      </c>
    </row>
    <row r="565" spans="1:19" x14ac:dyDescent="0.2">
      <c r="A565" s="68">
        <v>141848</v>
      </c>
      <c r="B565" s="68" t="s">
        <v>5336</v>
      </c>
      <c r="C565" s="76">
        <v>378</v>
      </c>
      <c r="D565" s="72" t="s">
        <v>6864</v>
      </c>
      <c r="E565" s="86" t="s">
        <v>19</v>
      </c>
      <c r="F565" s="87">
        <v>42671</v>
      </c>
      <c r="G565" s="83">
        <f>102</f>
        <v>102</v>
      </c>
      <c r="H565" s="96"/>
      <c r="K565" s="133"/>
      <c r="L565" s="63"/>
      <c r="M565" s="63"/>
      <c r="N565" s="63"/>
      <c r="O565" s="63"/>
      <c r="P565" s="63"/>
      <c r="Q565" s="63">
        <f t="shared" si="30"/>
        <v>102</v>
      </c>
      <c r="R565" s="63">
        <f t="shared" si="31"/>
        <v>0</v>
      </c>
      <c r="S565" s="63">
        <f t="shared" si="32"/>
        <v>102</v>
      </c>
    </row>
    <row r="566" spans="1:19" x14ac:dyDescent="0.2">
      <c r="A566" s="68">
        <v>144797</v>
      </c>
      <c r="B566" s="68" t="s">
        <v>6865</v>
      </c>
      <c r="C566" s="76">
        <v>379</v>
      </c>
      <c r="D566" s="72" t="s">
        <v>6866</v>
      </c>
      <c r="E566" s="86" t="s">
        <v>19</v>
      </c>
      <c r="F566" s="87">
        <v>42671</v>
      </c>
      <c r="G566" s="83">
        <f>322.7</f>
        <v>322.7</v>
      </c>
      <c r="H566" s="96"/>
      <c r="K566" s="133"/>
      <c r="L566" s="63"/>
      <c r="M566" s="63"/>
      <c r="N566" s="63"/>
      <c r="O566" s="63"/>
      <c r="P566" s="63"/>
      <c r="Q566" s="63">
        <f t="shared" si="30"/>
        <v>322.7</v>
      </c>
      <c r="R566" s="63">
        <f t="shared" si="31"/>
        <v>0</v>
      </c>
      <c r="S566" s="63">
        <f t="shared" si="32"/>
        <v>322.7</v>
      </c>
    </row>
    <row r="567" spans="1:19" x14ac:dyDescent="0.2">
      <c r="A567" s="68">
        <v>132836</v>
      </c>
      <c r="B567" s="85" t="s">
        <v>6868</v>
      </c>
      <c r="C567" s="76">
        <v>380</v>
      </c>
      <c r="D567" s="72" t="s">
        <v>6867</v>
      </c>
      <c r="E567" s="86" t="s">
        <v>19</v>
      </c>
      <c r="F567" s="87">
        <v>42671</v>
      </c>
      <c r="G567" s="83">
        <f>8288.17+422.96+41.3+71.65+122.78+302.25+71.65+131.99+71.65+71.65+416.24+131.99</f>
        <v>10144.279999999997</v>
      </c>
      <c r="H567" s="96"/>
      <c r="I567" s="63">
        <v>3950</v>
      </c>
      <c r="K567" s="133"/>
      <c r="L567" s="63"/>
      <c r="M567" s="63"/>
      <c r="N567" s="63"/>
      <c r="O567" s="63"/>
      <c r="P567" s="63"/>
      <c r="Q567" s="63">
        <f t="shared" si="30"/>
        <v>14094.279999999997</v>
      </c>
      <c r="R567" s="63">
        <f t="shared" si="31"/>
        <v>0</v>
      </c>
      <c r="S567" s="63">
        <f t="shared" si="32"/>
        <v>14094.279999999997</v>
      </c>
    </row>
    <row r="568" spans="1:19" x14ac:dyDescent="0.2">
      <c r="A568" s="68">
        <v>130630</v>
      </c>
      <c r="B568" s="85" t="s">
        <v>6872</v>
      </c>
      <c r="C568" s="76">
        <v>381</v>
      </c>
      <c r="D568" s="72" t="s">
        <v>6869</v>
      </c>
      <c r="E568" s="86" t="s">
        <v>19</v>
      </c>
      <c r="F568" s="87">
        <v>42671</v>
      </c>
      <c r="G568" s="83"/>
      <c r="H568" s="96"/>
      <c r="K568" s="133"/>
      <c r="L568" s="63"/>
      <c r="M568" s="63"/>
      <c r="N568" s="63"/>
      <c r="O568" s="63"/>
      <c r="P568" s="63"/>
      <c r="Q568" s="63">
        <f t="shared" si="30"/>
        <v>0</v>
      </c>
      <c r="R568" s="63">
        <f t="shared" si="31"/>
        <v>0</v>
      </c>
      <c r="S568" s="63">
        <f t="shared" si="32"/>
        <v>0</v>
      </c>
    </row>
    <row r="569" spans="1:19" x14ac:dyDescent="0.2">
      <c r="A569" s="68">
        <v>132165</v>
      </c>
      <c r="B569" s="85" t="s">
        <v>6873</v>
      </c>
      <c r="C569" s="76">
        <v>382</v>
      </c>
      <c r="D569" s="72" t="s">
        <v>6870</v>
      </c>
      <c r="E569" s="86" t="s">
        <v>19</v>
      </c>
      <c r="F569" s="87">
        <v>42672</v>
      </c>
      <c r="G569" s="83"/>
      <c r="H569" s="96"/>
      <c r="K569" s="133"/>
      <c r="L569" s="63"/>
      <c r="M569" s="63"/>
      <c r="N569" s="63"/>
      <c r="O569" s="63"/>
      <c r="P569" s="63"/>
      <c r="Q569" s="63">
        <f t="shared" si="30"/>
        <v>0</v>
      </c>
      <c r="R569" s="63">
        <f t="shared" si="31"/>
        <v>0</v>
      </c>
      <c r="S569" s="63">
        <f t="shared" si="32"/>
        <v>0</v>
      </c>
    </row>
    <row r="570" spans="1:19" x14ac:dyDescent="0.2">
      <c r="A570" s="68">
        <v>132593</v>
      </c>
      <c r="B570" s="85" t="s">
        <v>6874</v>
      </c>
      <c r="C570" s="76">
        <v>383</v>
      </c>
      <c r="D570" s="72" t="s">
        <v>6871</v>
      </c>
      <c r="E570" s="86" t="s">
        <v>19</v>
      </c>
      <c r="F570" s="87">
        <v>42672</v>
      </c>
      <c r="G570" s="83">
        <f>1615.16</f>
        <v>1615.16</v>
      </c>
      <c r="H570" s="96"/>
      <c r="I570" s="63">
        <v>3400</v>
      </c>
      <c r="K570" s="133"/>
      <c r="L570" s="63"/>
      <c r="M570" s="63"/>
      <c r="N570" s="63"/>
      <c r="O570" s="63"/>
      <c r="P570" s="63"/>
      <c r="Q570" s="63">
        <f t="shared" si="30"/>
        <v>5015.16</v>
      </c>
      <c r="R570" s="63">
        <f t="shared" si="31"/>
        <v>0</v>
      </c>
      <c r="S570" s="63">
        <f t="shared" si="32"/>
        <v>5015.16</v>
      </c>
    </row>
    <row r="571" spans="1:19" x14ac:dyDescent="0.2">
      <c r="A571" s="68">
        <v>138108</v>
      </c>
      <c r="B571" s="85" t="s">
        <v>6877</v>
      </c>
      <c r="C571" s="76">
        <v>384</v>
      </c>
      <c r="D571" s="72" t="s">
        <v>6876</v>
      </c>
      <c r="E571" s="86" t="s">
        <v>19</v>
      </c>
      <c r="F571" s="87">
        <v>42675</v>
      </c>
      <c r="G571" s="83">
        <f>233.59+82.53</f>
        <v>316.12</v>
      </c>
      <c r="H571" s="96"/>
      <c r="K571" s="133"/>
      <c r="L571" s="63"/>
      <c r="M571" s="63"/>
      <c r="N571" s="63"/>
      <c r="O571" s="63"/>
      <c r="P571" s="63"/>
      <c r="Q571" s="63">
        <f t="shared" si="30"/>
        <v>316.12</v>
      </c>
      <c r="R571" s="63">
        <f t="shared" si="31"/>
        <v>0</v>
      </c>
      <c r="S571" s="63">
        <f t="shared" si="32"/>
        <v>316.12</v>
      </c>
    </row>
    <row r="572" spans="1:19" x14ac:dyDescent="0.2">
      <c r="A572" s="68">
        <v>145647</v>
      </c>
      <c r="B572" s="85" t="s">
        <v>6880</v>
      </c>
      <c r="C572" s="76">
        <v>385</v>
      </c>
      <c r="D572" s="72" t="s">
        <v>6912</v>
      </c>
      <c r="E572" s="86" t="s">
        <v>19</v>
      </c>
      <c r="F572" s="74">
        <v>42675</v>
      </c>
      <c r="G572" s="83">
        <v>198.8</v>
      </c>
      <c r="H572" s="96"/>
      <c r="K572" s="133"/>
      <c r="L572" s="63"/>
      <c r="M572" s="63"/>
      <c r="N572" s="63"/>
      <c r="O572" s="63"/>
      <c r="P572" s="63"/>
      <c r="Q572" s="63">
        <f t="shared" si="30"/>
        <v>198.8</v>
      </c>
      <c r="R572" s="63">
        <f t="shared" si="31"/>
        <v>0</v>
      </c>
      <c r="S572" s="63">
        <f t="shared" si="32"/>
        <v>198.8</v>
      </c>
    </row>
    <row r="573" spans="1:19" x14ac:dyDescent="0.2">
      <c r="A573" s="68">
        <v>128824</v>
      </c>
      <c r="B573" s="85" t="s">
        <v>6881</v>
      </c>
      <c r="C573" s="76">
        <v>386</v>
      </c>
      <c r="D573" s="72" t="s">
        <v>6913</v>
      </c>
      <c r="E573" s="86" t="s">
        <v>19</v>
      </c>
      <c r="F573" s="74">
        <v>42676</v>
      </c>
      <c r="G573" s="83">
        <f>175.94</f>
        <v>175.94</v>
      </c>
      <c r="H573" s="96"/>
      <c r="K573" s="133"/>
      <c r="L573" s="63"/>
      <c r="M573" s="63"/>
      <c r="N573" s="63"/>
      <c r="O573" s="63"/>
      <c r="P573" s="63"/>
      <c r="Q573" s="63">
        <f t="shared" si="30"/>
        <v>175.94</v>
      </c>
      <c r="R573" s="63">
        <f t="shared" si="31"/>
        <v>0</v>
      </c>
      <c r="S573" s="63">
        <f t="shared" si="32"/>
        <v>175.94</v>
      </c>
    </row>
    <row r="574" spans="1:19" x14ac:dyDescent="0.2">
      <c r="A574" s="68">
        <v>129391</v>
      </c>
      <c r="B574" s="85" t="s">
        <v>4102</v>
      </c>
      <c r="C574" s="76">
        <v>387</v>
      </c>
      <c r="D574" s="72" t="s">
        <v>6914</v>
      </c>
      <c r="E574" s="86" t="s">
        <v>19</v>
      </c>
      <c r="F574" s="74">
        <v>42677</v>
      </c>
      <c r="G574" s="83">
        <f>41.3+578.2+108.39</f>
        <v>727.89</v>
      </c>
      <c r="H574" s="96"/>
      <c r="K574" s="133"/>
      <c r="L574" s="63"/>
      <c r="M574" s="63"/>
      <c r="N574" s="63"/>
      <c r="O574" s="63"/>
      <c r="P574" s="63"/>
      <c r="Q574" s="63">
        <f t="shared" si="30"/>
        <v>727.89</v>
      </c>
      <c r="R574" s="63">
        <f t="shared" si="31"/>
        <v>0</v>
      </c>
      <c r="S574" s="63">
        <f t="shared" si="32"/>
        <v>727.89</v>
      </c>
    </row>
    <row r="575" spans="1:19" x14ac:dyDescent="0.2">
      <c r="A575" s="68">
        <v>129391</v>
      </c>
      <c r="B575" s="85" t="s">
        <v>4102</v>
      </c>
      <c r="C575" s="76">
        <v>387</v>
      </c>
      <c r="D575" s="72" t="s">
        <v>6915</v>
      </c>
      <c r="E575" s="86" t="s">
        <v>19</v>
      </c>
      <c r="F575" s="74">
        <v>42677</v>
      </c>
      <c r="G575" s="83">
        <f>197.96</f>
        <v>197.96</v>
      </c>
      <c r="H575" s="96"/>
      <c r="K575" s="133"/>
      <c r="L575" s="63"/>
      <c r="M575" s="63"/>
      <c r="N575" s="63"/>
      <c r="O575" s="63"/>
      <c r="P575" s="63"/>
      <c r="Q575" s="63">
        <f t="shared" si="30"/>
        <v>197.96</v>
      </c>
      <c r="R575" s="63">
        <f t="shared" si="31"/>
        <v>0</v>
      </c>
      <c r="S575" s="63">
        <f t="shared" si="32"/>
        <v>197.96</v>
      </c>
    </row>
    <row r="576" spans="1:19" x14ac:dyDescent="0.2">
      <c r="A576" s="68">
        <v>129391</v>
      </c>
      <c r="B576" s="85" t="s">
        <v>4102</v>
      </c>
      <c r="C576" s="76">
        <v>387</v>
      </c>
      <c r="D576" s="72" t="s">
        <v>6916</v>
      </c>
      <c r="E576" s="86" t="s">
        <v>19</v>
      </c>
      <c r="F576" s="74">
        <v>42677</v>
      </c>
      <c r="G576" s="83">
        <f>158.9</f>
        <v>158.9</v>
      </c>
      <c r="H576" s="96"/>
      <c r="K576" s="133"/>
      <c r="L576" s="63"/>
      <c r="M576" s="63"/>
      <c r="N576" s="63"/>
      <c r="O576" s="63"/>
      <c r="P576" s="63"/>
      <c r="Q576" s="63">
        <f t="shared" si="30"/>
        <v>158.9</v>
      </c>
      <c r="R576" s="63">
        <f t="shared" si="31"/>
        <v>0</v>
      </c>
      <c r="S576" s="63">
        <f t="shared" si="32"/>
        <v>158.9</v>
      </c>
    </row>
    <row r="577" spans="1:19" x14ac:dyDescent="0.2">
      <c r="A577" s="68">
        <v>129391</v>
      </c>
      <c r="B577" s="85" t="s">
        <v>4102</v>
      </c>
      <c r="C577" s="76">
        <v>387</v>
      </c>
      <c r="D577" s="72" t="s">
        <v>6917</v>
      </c>
      <c r="E577" s="86" t="s">
        <v>19</v>
      </c>
      <c r="F577" s="74">
        <v>42677</v>
      </c>
      <c r="G577" s="83">
        <f>60+281.57</f>
        <v>341.57</v>
      </c>
      <c r="H577" s="96"/>
      <c r="K577" s="133"/>
      <c r="L577" s="63"/>
      <c r="M577" s="63"/>
      <c r="N577" s="63"/>
      <c r="O577" s="63"/>
      <c r="P577" s="63"/>
      <c r="Q577" s="63">
        <f t="shared" si="30"/>
        <v>341.57</v>
      </c>
      <c r="R577" s="63">
        <f t="shared" si="31"/>
        <v>0</v>
      </c>
      <c r="S577" s="63">
        <f t="shared" si="32"/>
        <v>341.57</v>
      </c>
    </row>
    <row r="578" spans="1:19" x14ac:dyDescent="0.2">
      <c r="A578" s="68">
        <v>129391</v>
      </c>
      <c r="B578" s="85" t="s">
        <v>4102</v>
      </c>
      <c r="C578" s="76">
        <v>387</v>
      </c>
      <c r="D578" s="72" t="s">
        <v>6918</v>
      </c>
      <c r="E578" s="86" t="s">
        <v>19</v>
      </c>
      <c r="F578" s="74">
        <v>42677</v>
      </c>
      <c r="G578" s="83">
        <f>60+284.21</f>
        <v>344.21</v>
      </c>
      <c r="H578" s="96"/>
      <c r="K578" s="133"/>
      <c r="L578" s="63"/>
      <c r="M578" s="63"/>
      <c r="N578" s="63"/>
      <c r="O578" s="63"/>
      <c r="P578" s="63"/>
      <c r="Q578" s="63">
        <f t="shared" si="30"/>
        <v>344.21</v>
      </c>
      <c r="R578" s="63">
        <f t="shared" si="31"/>
        <v>0</v>
      </c>
      <c r="S578" s="63">
        <f t="shared" si="32"/>
        <v>344.21</v>
      </c>
    </row>
    <row r="579" spans="1:19" x14ac:dyDescent="0.2">
      <c r="A579" s="68">
        <v>140950</v>
      </c>
      <c r="B579" s="85" t="s">
        <v>6882</v>
      </c>
      <c r="C579" s="76">
        <v>388</v>
      </c>
      <c r="D579" s="72" t="s">
        <v>6919</v>
      </c>
      <c r="E579" s="86" t="s">
        <v>19</v>
      </c>
      <c r="F579" s="74">
        <v>42678</v>
      </c>
      <c r="G579" s="83">
        <f>292.77+76.27</f>
        <v>369.03999999999996</v>
      </c>
      <c r="H579" s="96"/>
      <c r="K579" s="133"/>
      <c r="L579" s="63"/>
      <c r="M579" s="63"/>
      <c r="N579" s="63"/>
      <c r="O579" s="63"/>
      <c r="P579" s="63"/>
      <c r="Q579" s="63">
        <f t="shared" si="30"/>
        <v>369.03999999999996</v>
      </c>
      <c r="R579" s="63">
        <f t="shared" si="31"/>
        <v>0</v>
      </c>
      <c r="S579" s="63">
        <f t="shared" si="32"/>
        <v>369.03999999999996</v>
      </c>
    </row>
    <row r="580" spans="1:19" x14ac:dyDescent="0.2">
      <c r="A580" s="68">
        <v>135027</v>
      </c>
      <c r="B580" s="85" t="s">
        <v>6883</v>
      </c>
      <c r="C580" s="76">
        <v>389</v>
      </c>
      <c r="D580" s="72" t="s">
        <v>6920</v>
      </c>
      <c r="E580" s="86" t="s">
        <v>19</v>
      </c>
      <c r="F580" s="74">
        <v>42678</v>
      </c>
      <c r="G580" s="83">
        <v>404</v>
      </c>
      <c r="H580" s="96"/>
      <c r="K580" s="133"/>
      <c r="L580" s="63"/>
      <c r="M580" s="63"/>
      <c r="N580" s="63"/>
      <c r="O580" s="63"/>
      <c r="P580" s="63"/>
      <c r="Q580" s="63">
        <f t="shared" si="30"/>
        <v>404</v>
      </c>
      <c r="R580" s="63">
        <f t="shared" si="31"/>
        <v>0</v>
      </c>
      <c r="S580" s="63">
        <f t="shared" si="32"/>
        <v>404</v>
      </c>
    </row>
    <row r="581" spans="1:19" x14ac:dyDescent="0.2">
      <c r="A581" s="68">
        <v>135939</v>
      </c>
      <c r="B581" s="85" t="s">
        <v>6884</v>
      </c>
      <c r="C581" s="76">
        <v>390</v>
      </c>
      <c r="D581" s="72" t="s">
        <v>6921</v>
      </c>
      <c r="E581" s="86" t="s">
        <v>19</v>
      </c>
      <c r="F581" s="74">
        <v>42679</v>
      </c>
      <c r="G581" s="83">
        <f>3098.36+99.4+19.52+59</f>
        <v>3276.28</v>
      </c>
      <c r="H581" s="96"/>
      <c r="I581" s="63">
        <f>1700</f>
        <v>1700</v>
      </c>
      <c r="K581" s="133"/>
      <c r="L581" s="63"/>
      <c r="M581" s="63"/>
      <c r="N581" s="63"/>
      <c r="O581" s="63"/>
      <c r="P581" s="63"/>
      <c r="Q581" s="63">
        <f t="shared" si="30"/>
        <v>4976.2800000000007</v>
      </c>
      <c r="R581" s="63">
        <f t="shared" si="31"/>
        <v>0</v>
      </c>
      <c r="S581" s="63">
        <f t="shared" si="32"/>
        <v>4976.2800000000007</v>
      </c>
    </row>
    <row r="582" spans="1:19" x14ac:dyDescent="0.2">
      <c r="A582" s="68">
        <v>138304</v>
      </c>
      <c r="B582" s="85" t="s">
        <v>6885</v>
      </c>
      <c r="C582" s="76">
        <v>391</v>
      </c>
      <c r="D582" s="72" t="s">
        <v>6922</v>
      </c>
      <c r="E582" s="86" t="s">
        <v>19</v>
      </c>
      <c r="F582" s="74">
        <v>42680</v>
      </c>
      <c r="G582" s="83"/>
      <c r="H582" s="96"/>
      <c r="K582" s="133"/>
      <c r="L582" s="63"/>
      <c r="M582" s="63"/>
      <c r="N582" s="63"/>
      <c r="O582" s="63"/>
      <c r="P582" s="63"/>
      <c r="Q582" s="63">
        <f t="shared" si="30"/>
        <v>0</v>
      </c>
      <c r="R582" s="63">
        <f t="shared" si="31"/>
        <v>0</v>
      </c>
      <c r="S582" s="63">
        <f t="shared" si="32"/>
        <v>0</v>
      </c>
    </row>
    <row r="583" spans="1:19" x14ac:dyDescent="0.2">
      <c r="A583" s="68">
        <v>130090</v>
      </c>
      <c r="B583" s="85" t="s">
        <v>6886</v>
      </c>
      <c r="C583" s="76">
        <v>392</v>
      </c>
      <c r="D583" s="72" t="s">
        <v>6923</v>
      </c>
      <c r="E583" s="86" t="s">
        <v>19</v>
      </c>
      <c r="F583" s="74">
        <v>42650</v>
      </c>
      <c r="G583" s="83">
        <f>80</f>
        <v>80</v>
      </c>
      <c r="H583" s="96"/>
      <c r="K583" s="133"/>
      <c r="L583" s="63"/>
      <c r="M583" s="63"/>
      <c r="N583" s="63"/>
      <c r="O583" s="63"/>
      <c r="P583" s="63"/>
      <c r="Q583" s="63">
        <f t="shared" si="30"/>
        <v>80</v>
      </c>
      <c r="R583" s="63">
        <f t="shared" si="31"/>
        <v>0</v>
      </c>
      <c r="S583" s="63">
        <f t="shared" si="32"/>
        <v>80</v>
      </c>
    </row>
    <row r="584" spans="1:19" x14ac:dyDescent="0.2">
      <c r="A584" s="68">
        <v>145735</v>
      </c>
      <c r="B584" s="85" t="s">
        <v>6887</v>
      </c>
      <c r="C584" s="76">
        <v>393</v>
      </c>
      <c r="D584" s="72" t="s">
        <v>6924</v>
      </c>
      <c r="E584" s="86" t="s">
        <v>19</v>
      </c>
      <c r="F584" s="74">
        <v>42683</v>
      </c>
      <c r="G584" s="83">
        <f>41.3+355.67</f>
        <v>396.97</v>
      </c>
      <c r="H584" s="96"/>
      <c r="K584" s="133"/>
      <c r="L584" s="63"/>
      <c r="M584" s="63"/>
      <c r="N584" s="63"/>
      <c r="O584" s="63"/>
      <c r="P584" s="63"/>
      <c r="Q584" s="63">
        <f t="shared" si="30"/>
        <v>396.97</v>
      </c>
      <c r="R584" s="63">
        <f t="shared" si="31"/>
        <v>0</v>
      </c>
      <c r="S584" s="63">
        <f t="shared" si="32"/>
        <v>396.97</v>
      </c>
    </row>
    <row r="585" spans="1:19" x14ac:dyDescent="0.2">
      <c r="A585" s="68">
        <v>145735</v>
      </c>
      <c r="B585" s="85" t="s">
        <v>6887</v>
      </c>
      <c r="C585" s="76">
        <v>393</v>
      </c>
      <c r="D585" s="72" t="s">
        <v>6925</v>
      </c>
      <c r="E585" s="86" t="s">
        <v>19</v>
      </c>
      <c r="F585" s="74">
        <v>42683</v>
      </c>
      <c r="G585" s="83">
        <f>140.8</f>
        <v>140.80000000000001</v>
      </c>
      <c r="H585" s="96"/>
      <c r="K585" s="133"/>
      <c r="L585" s="63"/>
      <c r="M585" s="63"/>
      <c r="N585" s="63"/>
      <c r="O585" s="63"/>
      <c r="P585" s="63"/>
      <c r="Q585" s="63">
        <f t="shared" si="30"/>
        <v>140.80000000000001</v>
      </c>
      <c r="R585" s="63">
        <f t="shared" si="31"/>
        <v>0</v>
      </c>
      <c r="S585" s="63">
        <f t="shared" si="32"/>
        <v>140.80000000000001</v>
      </c>
    </row>
    <row r="586" spans="1:19" x14ac:dyDescent="0.2">
      <c r="A586" s="68">
        <v>145650</v>
      </c>
      <c r="B586" s="68" t="s">
        <v>6888</v>
      </c>
      <c r="C586" s="76">
        <v>394</v>
      </c>
      <c r="D586" s="72" t="s">
        <v>6926</v>
      </c>
      <c r="E586" s="86" t="s">
        <v>19</v>
      </c>
      <c r="F586" s="74">
        <v>42685</v>
      </c>
      <c r="G586" s="83"/>
      <c r="H586" s="96"/>
      <c r="K586" s="133"/>
      <c r="L586" s="63"/>
      <c r="M586" s="63"/>
      <c r="N586" s="63"/>
      <c r="O586" s="63"/>
      <c r="P586" s="63"/>
      <c r="Q586" s="63">
        <f t="shared" si="30"/>
        <v>0</v>
      </c>
      <c r="R586" s="63">
        <f t="shared" si="31"/>
        <v>0</v>
      </c>
      <c r="S586" s="63">
        <f t="shared" si="32"/>
        <v>0</v>
      </c>
    </row>
    <row r="587" spans="1:19" x14ac:dyDescent="0.2">
      <c r="A587" s="68">
        <v>145650</v>
      </c>
      <c r="B587" s="68" t="s">
        <v>6888</v>
      </c>
      <c r="C587" s="76">
        <v>394</v>
      </c>
      <c r="D587" s="72" t="s">
        <v>6927</v>
      </c>
      <c r="E587" s="86" t="s">
        <v>19</v>
      </c>
      <c r="F587" s="74">
        <v>42685</v>
      </c>
      <c r="G587" s="83">
        <f>246.39</f>
        <v>246.39</v>
      </c>
      <c r="H587" s="96"/>
      <c r="K587" s="133"/>
      <c r="L587" s="63"/>
      <c r="M587" s="63"/>
      <c r="N587" s="63"/>
      <c r="O587" s="63"/>
      <c r="P587" s="63"/>
      <c r="Q587" s="63">
        <f t="shared" si="30"/>
        <v>246.39</v>
      </c>
      <c r="R587" s="63">
        <f t="shared" si="31"/>
        <v>0</v>
      </c>
      <c r="S587" s="63">
        <f t="shared" si="32"/>
        <v>246.39</v>
      </c>
    </row>
    <row r="588" spans="1:19" x14ac:dyDescent="0.2">
      <c r="A588" s="68">
        <v>145650</v>
      </c>
      <c r="B588" s="68" t="s">
        <v>6888</v>
      </c>
      <c r="C588" s="76">
        <v>394</v>
      </c>
      <c r="D588" s="72" t="s">
        <v>6928</v>
      </c>
      <c r="E588" s="86" t="s">
        <v>19</v>
      </c>
      <c r="F588" s="74">
        <v>42685</v>
      </c>
      <c r="G588" s="83">
        <f>197.43+69.51+370+348.2</f>
        <v>985.1400000000001</v>
      </c>
      <c r="H588" s="96"/>
      <c r="K588" s="133"/>
      <c r="L588" s="63"/>
      <c r="M588" s="63"/>
      <c r="N588" s="63"/>
      <c r="O588" s="63"/>
      <c r="P588" s="63"/>
      <c r="Q588" s="63">
        <f t="shared" si="30"/>
        <v>985.1400000000001</v>
      </c>
      <c r="R588" s="63">
        <f t="shared" si="31"/>
        <v>0</v>
      </c>
      <c r="S588" s="63">
        <f t="shared" si="32"/>
        <v>985.1400000000001</v>
      </c>
    </row>
    <row r="589" spans="1:19" x14ac:dyDescent="0.2">
      <c r="A589" s="68">
        <v>145650</v>
      </c>
      <c r="B589" s="68" t="s">
        <v>6888</v>
      </c>
      <c r="C589" s="76">
        <v>394</v>
      </c>
      <c r="D589" s="72" t="s">
        <v>6929</v>
      </c>
      <c r="E589" s="86" t="s">
        <v>19</v>
      </c>
      <c r="F589" s="74">
        <v>42685</v>
      </c>
      <c r="G589" s="83"/>
      <c r="H589" s="96"/>
      <c r="K589" s="133"/>
      <c r="L589" s="63"/>
      <c r="M589" s="63"/>
      <c r="N589" s="63"/>
      <c r="O589" s="63"/>
      <c r="P589" s="63"/>
      <c r="Q589" s="63">
        <f t="shared" si="30"/>
        <v>0</v>
      </c>
      <c r="R589" s="63">
        <f t="shared" si="31"/>
        <v>0</v>
      </c>
      <c r="S589" s="63">
        <f t="shared" si="32"/>
        <v>0</v>
      </c>
    </row>
    <row r="590" spans="1:19" x14ac:dyDescent="0.2">
      <c r="A590" s="68">
        <v>145650</v>
      </c>
      <c r="B590" s="68" t="s">
        <v>6888</v>
      </c>
      <c r="C590" s="76">
        <v>394</v>
      </c>
      <c r="D590" s="72" t="s">
        <v>6930</v>
      </c>
      <c r="E590" s="86" t="s">
        <v>19</v>
      </c>
      <c r="F590" s="74">
        <v>42685</v>
      </c>
      <c r="G590" s="83">
        <f>48.5</f>
        <v>48.5</v>
      </c>
      <c r="H590" s="96"/>
      <c r="K590" s="133"/>
      <c r="L590" s="63"/>
      <c r="M590" s="63"/>
      <c r="N590" s="63"/>
      <c r="O590" s="63"/>
      <c r="P590" s="63"/>
      <c r="Q590" s="63">
        <f t="shared" si="30"/>
        <v>48.5</v>
      </c>
      <c r="R590" s="63">
        <f t="shared" si="31"/>
        <v>0</v>
      </c>
      <c r="S590" s="63">
        <f t="shared" si="32"/>
        <v>48.5</v>
      </c>
    </row>
    <row r="591" spans="1:19" x14ac:dyDescent="0.2">
      <c r="A591" s="68">
        <v>145650</v>
      </c>
      <c r="B591" s="68" t="s">
        <v>6888</v>
      </c>
      <c r="C591" s="76">
        <v>394</v>
      </c>
      <c r="D591" s="72" t="s">
        <v>6931</v>
      </c>
      <c r="E591" s="86" t="s">
        <v>19</v>
      </c>
      <c r="F591" s="74">
        <v>42685</v>
      </c>
      <c r="G591" s="83">
        <f>370+219</f>
        <v>589</v>
      </c>
      <c r="H591" s="96"/>
      <c r="K591" s="133"/>
      <c r="L591" s="63"/>
      <c r="M591" s="63"/>
      <c r="N591" s="63"/>
      <c r="O591" s="63"/>
      <c r="P591" s="63"/>
      <c r="Q591" s="63">
        <f t="shared" si="30"/>
        <v>589</v>
      </c>
      <c r="R591" s="63">
        <f t="shared" si="31"/>
        <v>0</v>
      </c>
      <c r="S591" s="63">
        <f t="shared" si="32"/>
        <v>589</v>
      </c>
    </row>
    <row r="592" spans="1:19" x14ac:dyDescent="0.2">
      <c r="A592" s="68">
        <v>145650</v>
      </c>
      <c r="B592" s="68" t="s">
        <v>6888</v>
      </c>
      <c r="C592" s="76">
        <v>394</v>
      </c>
      <c r="D592" s="72" t="s">
        <v>6932</v>
      </c>
      <c r="E592" s="86" t="s">
        <v>19</v>
      </c>
      <c r="F592" s="74">
        <v>42685</v>
      </c>
      <c r="G592" s="83">
        <f>168.72+204.2</f>
        <v>372.91999999999996</v>
      </c>
      <c r="H592" s="96"/>
      <c r="K592" s="133"/>
      <c r="L592" s="63"/>
      <c r="M592" s="63"/>
      <c r="N592" s="63"/>
      <c r="O592" s="63"/>
      <c r="P592" s="63"/>
      <c r="Q592" s="63">
        <f t="shared" si="30"/>
        <v>372.91999999999996</v>
      </c>
      <c r="R592" s="63">
        <f t="shared" si="31"/>
        <v>0</v>
      </c>
      <c r="S592" s="63">
        <f t="shared" si="32"/>
        <v>372.91999999999996</v>
      </c>
    </row>
    <row r="593" spans="1:19" x14ac:dyDescent="0.2">
      <c r="A593" s="68">
        <v>145650</v>
      </c>
      <c r="B593" s="68" t="s">
        <v>6888</v>
      </c>
      <c r="C593" s="76">
        <v>394</v>
      </c>
      <c r="D593" s="72" t="s">
        <v>6933</v>
      </c>
      <c r="E593" s="86" t="s">
        <v>19</v>
      </c>
      <c r="F593" s="74">
        <v>42685</v>
      </c>
      <c r="G593" s="83">
        <f>348.2</f>
        <v>348.2</v>
      </c>
      <c r="H593" s="96"/>
      <c r="K593" s="133"/>
      <c r="L593" s="63"/>
      <c r="M593" s="63"/>
      <c r="N593" s="63"/>
      <c r="O593" s="63"/>
      <c r="P593" s="63"/>
      <c r="Q593" s="63">
        <f t="shared" si="30"/>
        <v>348.2</v>
      </c>
      <c r="R593" s="63">
        <f t="shared" si="31"/>
        <v>0</v>
      </c>
      <c r="S593" s="63">
        <f t="shared" si="32"/>
        <v>348.2</v>
      </c>
    </row>
    <row r="594" spans="1:19" x14ac:dyDescent="0.2">
      <c r="A594" s="68">
        <v>145650</v>
      </c>
      <c r="B594" s="68" t="s">
        <v>6888</v>
      </c>
      <c r="C594" s="76">
        <v>394</v>
      </c>
      <c r="D594" s="72" t="s">
        <v>6937</v>
      </c>
      <c r="E594" s="86" t="s">
        <v>19</v>
      </c>
      <c r="F594" s="74">
        <v>42685</v>
      </c>
      <c r="G594" s="83">
        <f>48</f>
        <v>48</v>
      </c>
      <c r="H594" s="96"/>
      <c r="K594" s="133"/>
      <c r="L594" s="63"/>
      <c r="M594" s="63"/>
      <c r="N594" s="63"/>
      <c r="O594" s="63"/>
      <c r="P594" s="63"/>
      <c r="Q594" s="63">
        <f t="shared" si="30"/>
        <v>48</v>
      </c>
      <c r="R594" s="63">
        <f t="shared" si="31"/>
        <v>0</v>
      </c>
      <c r="S594" s="63">
        <f t="shared" si="32"/>
        <v>48</v>
      </c>
    </row>
    <row r="595" spans="1:19" x14ac:dyDescent="0.2">
      <c r="A595" s="68">
        <v>125626</v>
      </c>
      <c r="B595" s="85" t="s">
        <v>6889</v>
      </c>
      <c r="C595" s="76">
        <v>395</v>
      </c>
      <c r="D595" s="72" t="s">
        <v>6934</v>
      </c>
      <c r="E595" s="86" t="s">
        <v>19</v>
      </c>
      <c r="F595" s="74">
        <v>42686</v>
      </c>
      <c r="G595" s="83">
        <f>70</f>
        <v>70</v>
      </c>
      <c r="H595" s="96"/>
      <c r="K595" s="133"/>
      <c r="L595" s="63"/>
      <c r="M595" s="63"/>
      <c r="N595" s="63"/>
      <c r="O595" s="63"/>
      <c r="P595" s="63"/>
      <c r="Q595" s="63">
        <f t="shared" si="30"/>
        <v>70</v>
      </c>
      <c r="R595" s="63">
        <f t="shared" si="31"/>
        <v>0</v>
      </c>
      <c r="S595" s="63">
        <f t="shared" si="32"/>
        <v>70</v>
      </c>
    </row>
    <row r="596" spans="1:19" x14ac:dyDescent="0.2">
      <c r="A596" s="68">
        <v>131864</v>
      </c>
      <c r="B596" s="68" t="s">
        <v>6890</v>
      </c>
      <c r="C596" s="76">
        <v>396</v>
      </c>
      <c r="D596" s="72" t="s">
        <v>6935</v>
      </c>
      <c r="E596" s="86" t="s">
        <v>19</v>
      </c>
      <c r="F596" s="74">
        <v>42690</v>
      </c>
      <c r="G596" s="83">
        <f>386.27</f>
        <v>386.27</v>
      </c>
      <c r="H596" s="96"/>
      <c r="K596" s="133"/>
      <c r="L596" s="63"/>
      <c r="M596" s="63"/>
      <c r="N596" s="63"/>
      <c r="O596" s="63"/>
      <c r="P596" s="63"/>
      <c r="Q596" s="63">
        <f t="shared" si="30"/>
        <v>386.27</v>
      </c>
      <c r="R596" s="63">
        <f t="shared" si="31"/>
        <v>0</v>
      </c>
      <c r="S596" s="63">
        <f t="shared" si="32"/>
        <v>386.27</v>
      </c>
    </row>
    <row r="597" spans="1:19" x14ac:dyDescent="0.2">
      <c r="A597" s="68">
        <v>137777</v>
      </c>
      <c r="B597" s="68" t="s">
        <v>6891</v>
      </c>
      <c r="C597" s="76">
        <v>397</v>
      </c>
      <c r="D597" s="72" t="s">
        <v>7128</v>
      </c>
      <c r="E597" s="86" t="s">
        <v>19</v>
      </c>
      <c r="F597" s="74">
        <v>42691</v>
      </c>
      <c r="G597" s="83">
        <v>105.5</v>
      </c>
      <c r="H597" s="96"/>
      <c r="K597" s="133"/>
      <c r="L597" s="63"/>
      <c r="M597" s="63"/>
      <c r="N597" s="63"/>
      <c r="O597" s="63"/>
      <c r="P597" s="63"/>
      <c r="Q597" s="63">
        <f t="shared" si="30"/>
        <v>105.5</v>
      </c>
      <c r="R597" s="63">
        <f t="shared" si="31"/>
        <v>0</v>
      </c>
      <c r="S597" s="63">
        <f t="shared" si="32"/>
        <v>105.5</v>
      </c>
    </row>
    <row r="598" spans="1:19" x14ac:dyDescent="0.2">
      <c r="A598" s="68">
        <v>128563</v>
      </c>
      <c r="B598" s="68" t="s">
        <v>6892</v>
      </c>
      <c r="C598" s="76">
        <v>398</v>
      </c>
      <c r="D598" s="72" t="s">
        <v>6936</v>
      </c>
      <c r="E598" s="86" t="s">
        <v>19</v>
      </c>
      <c r="F598" s="74">
        <v>42692</v>
      </c>
      <c r="G598" s="83">
        <v>145.5</v>
      </c>
      <c r="H598" s="96"/>
      <c r="K598" s="133"/>
      <c r="L598" s="63"/>
      <c r="M598" s="63"/>
      <c r="N598" s="63"/>
      <c r="O598" s="63"/>
      <c r="P598" s="63"/>
      <c r="Q598" s="63">
        <f t="shared" si="30"/>
        <v>145.5</v>
      </c>
      <c r="R598" s="63">
        <f t="shared" si="31"/>
        <v>0</v>
      </c>
      <c r="S598" s="63">
        <f t="shared" si="32"/>
        <v>145.5</v>
      </c>
    </row>
    <row r="599" spans="1:19" x14ac:dyDescent="0.2">
      <c r="A599" s="68">
        <v>136469</v>
      </c>
      <c r="B599" s="85" t="s">
        <v>6893</v>
      </c>
      <c r="C599" s="76">
        <v>399</v>
      </c>
      <c r="D599" s="72" t="s">
        <v>6938</v>
      </c>
      <c r="E599" s="86" t="s">
        <v>19</v>
      </c>
      <c r="F599" s="74">
        <v>42693</v>
      </c>
      <c r="G599" s="83">
        <f>240+41.3+276.3+120.04+58.75+33.93+41.3+41.3+148.76+60+107.5</f>
        <v>1169.1799999999998</v>
      </c>
      <c r="H599" s="96"/>
      <c r="I599" s="63">
        <v>1700</v>
      </c>
      <c r="K599" s="133"/>
      <c r="L599" s="63"/>
      <c r="M599" s="63"/>
      <c r="N599" s="63"/>
      <c r="O599" s="63"/>
      <c r="P599" s="63"/>
      <c r="Q599" s="63">
        <f t="shared" si="30"/>
        <v>2869.18</v>
      </c>
      <c r="R599" s="63">
        <f t="shared" si="31"/>
        <v>0</v>
      </c>
      <c r="S599" s="63">
        <f t="shared" si="32"/>
        <v>2869.18</v>
      </c>
    </row>
    <row r="600" spans="1:19" x14ac:dyDescent="0.2">
      <c r="A600" s="68">
        <v>136469</v>
      </c>
      <c r="B600" s="85" t="s">
        <v>6893</v>
      </c>
      <c r="C600" s="76">
        <v>399</v>
      </c>
      <c r="D600" s="72" t="s">
        <v>6939</v>
      </c>
      <c r="E600" s="86" t="s">
        <v>19</v>
      </c>
      <c r="F600" s="74">
        <v>42693</v>
      </c>
      <c r="G600" s="83">
        <f>41.3+41.3+41.3+155.45+40</f>
        <v>319.34999999999997</v>
      </c>
      <c r="H600" s="96"/>
      <c r="I600" s="63">
        <v>1700</v>
      </c>
      <c r="K600" s="133"/>
      <c r="L600" s="63"/>
      <c r="M600" s="63"/>
      <c r="N600" s="63"/>
      <c r="O600" s="63"/>
      <c r="P600" s="63"/>
      <c r="Q600" s="63">
        <f t="shared" si="30"/>
        <v>2019.35</v>
      </c>
      <c r="R600" s="63">
        <f t="shared" si="31"/>
        <v>0</v>
      </c>
      <c r="S600" s="63">
        <f t="shared" si="32"/>
        <v>2019.35</v>
      </c>
    </row>
    <row r="601" spans="1:19" x14ac:dyDescent="0.2">
      <c r="A601" s="68">
        <v>136469</v>
      </c>
      <c r="B601" s="85" t="s">
        <v>6893</v>
      </c>
      <c r="C601" s="76">
        <v>399</v>
      </c>
      <c r="D601" s="72" t="s">
        <v>6940</v>
      </c>
      <c r="E601" s="86" t="s">
        <v>19</v>
      </c>
      <c r="F601" s="74">
        <v>42693</v>
      </c>
      <c r="G601" s="83">
        <f>159.72+105.65+105.65+110.8+148.76+105.65+415.3</f>
        <v>1151.53</v>
      </c>
      <c r="H601" s="96"/>
      <c r="I601" s="63">
        <f>1700</f>
        <v>1700</v>
      </c>
      <c r="K601" s="133"/>
      <c r="L601" s="63"/>
      <c r="M601" s="63"/>
      <c r="N601" s="63"/>
      <c r="O601" s="63"/>
      <c r="P601" s="63"/>
      <c r="Q601" s="63">
        <f t="shared" si="30"/>
        <v>2851.5299999999997</v>
      </c>
      <c r="R601" s="63">
        <f t="shared" si="31"/>
        <v>0</v>
      </c>
      <c r="S601" s="63">
        <f t="shared" si="32"/>
        <v>2851.5299999999997</v>
      </c>
    </row>
    <row r="602" spans="1:19" x14ac:dyDescent="0.2">
      <c r="A602" s="68">
        <v>136469</v>
      </c>
      <c r="B602" s="85" t="s">
        <v>6893</v>
      </c>
      <c r="C602" s="76">
        <v>399</v>
      </c>
      <c r="D602" s="72" t="s">
        <v>6941</v>
      </c>
      <c r="E602" s="86" t="s">
        <v>19</v>
      </c>
      <c r="F602" s="74">
        <v>42693</v>
      </c>
      <c r="G602" s="83">
        <f>115.08+41.3+190.7</f>
        <v>347.08</v>
      </c>
      <c r="H602" s="96"/>
      <c r="I602" s="63">
        <v>2606.67</v>
      </c>
      <c r="K602" s="133"/>
      <c r="L602" s="63"/>
      <c r="M602" s="63"/>
      <c r="N602" s="63"/>
      <c r="O602" s="63"/>
      <c r="P602" s="63"/>
      <c r="Q602" s="63">
        <f t="shared" si="30"/>
        <v>2953.75</v>
      </c>
      <c r="R602" s="63">
        <f t="shared" si="31"/>
        <v>0</v>
      </c>
      <c r="S602" s="63">
        <f t="shared" si="32"/>
        <v>2953.75</v>
      </c>
    </row>
    <row r="603" spans="1:19" x14ac:dyDescent="0.2">
      <c r="A603" s="68">
        <v>136469</v>
      </c>
      <c r="B603" s="85" t="s">
        <v>6893</v>
      </c>
      <c r="C603" s="76">
        <v>399</v>
      </c>
      <c r="D603" s="72" t="s">
        <v>6942</v>
      </c>
      <c r="E603" s="86" t="s">
        <v>19</v>
      </c>
      <c r="F603" s="74">
        <v>42693</v>
      </c>
      <c r="G603" s="83">
        <f>240+41.3+307.59+80.53+41.3+203+105.86+90.64+107.3+123.72</f>
        <v>1341.24</v>
      </c>
      <c r="H603" s="96"/>
      <c r="I603" s="63">
        <v>3400</v>
      </c>
      <c r="K603" s="133"/>
      <c r="L603" s="63"/>
      <c r="M603" s="63"/>
      <c r="N603" s="63"/>
      <c r="O603" s="63"/>
      <c r="P603" s="63"/>
      <c r="Q603" s="63">
        <f t="shared" si="30"/>
        <v>4741.24</v>
      </c>
      <c r="R603" s="63">
        <f t="shared" si="31"/>
        <v>0</v>
      </c>
      <c r="S603" s="63">
        <f t="shared" si="32"/>
        <v>4741.24</v>
      </c>
    </row>
    <row r="604" spans="1:19" x14ac:dyDescent="0.2">
      <c r="A604" s="68">
        <v>136469</v>
      </c>
      <c r="B604" s="85" t="s">
        <v>6893</v>
      </c>
      <c r="C604" s="76">
        <v>399</v>
      </c>
      <c r="D604" s="72" t="s">
        <v>6943</v>
      </c>
      <c r="E604" s="86" t="s">
        <v>19</v>
      </c>
      <c r="F604" s="74">
        <v>42693</v>
      </c>
      <c r="G604" s="83">
        <f>5940.02+810+41.3+285.2+41.3+142.52+856.3+632.36+105.65+71.65+75.83+41.3+239.3+75.83+236.6+41.3+75.83+96.6+846.26+41.3+119.11+353.75+291.26+136</f>
        <v>11596.57</v>
      </c>
      <c r="H604" s="96"/>
      <c r="I604" s="63">
        <f>3950</f>
        <v>3950</v>
      </c>
      <c r="K604" s="133"/>
      <c r="L604" s="63"/>
      <c r="M604" s="63"/>
      <c r="N604" s="63"/>
      <c r="O604" s="63"/>
      <c r="P604" s="63"/>
      <c r="Q604" s="63">
        <f t="shared" si="30"/>
        <v>15546.57</v>
      </c>
      <c r="R604" s="63">
        <f t="shared" si="31"/>
        <v>0</v>
      </c>
      <c r="S604" s="63">
        <f t="shared" si="32"/>
        <v>15546.57</v>
      </c>
    </row>
    <row r="605" spans="1:19" x14ac:dyDescent="0.2">
      <c r="A605" s="68">
        <v>133903</v>
      </c>
      <c r="B605" s="68" t="s">
        <v>6894</v>
      </c>
      <c r="C605" s="76">
        <v>400</v>
      </c>
      <c r="D605" s="72" t="s">
        <v>6944</v>
      </c>
      <c r="E605" s="86" t="s">
        <v>19</v>
      </c>
      <c r="F605" s="74">
        <v>42694</v>
      </c>
      <c r="G605" s="83">
        <v>132.69999999999999</v>
      </c>
      <c r="H605" s="96"/>
      <c r="K605" s="133"/>
      <c r="L605" s="63"/>
      <c r="M605" s="63"/>
      <c r="N605" s="63"/>
      <c r="O605" s="63"/>
      <c r="P605" s="63"/>
      <c r="Q605" s="63">
        <f t="shared" si="30"/>
        <v>132.69999999999999</v>
      </c>
      <c r="R605" s="63">
        <f t="shared" si="31"/>
        <v>0</v>
      </c>
      <c r="S605" s="63">
        <f t="shared" si="32"/>
        <v>132.69999999999999</v>
      </c>
    </row>
    <row r="606" spans="1:19" x14ac:dyDescent="0.2">
      <c r="A606" s="68">
        <v>133903</v>
      </c>
      <c r="B606" s="68" t="s">
        <v>6894</v>
      </c>
      <c r="C606" s="76">
        <v>400</v>
      </c>
      <c r="D606" s="72" t="s">
        <v>6945</v>
      </c>
      <c r="E606" s="86" t="s">
        <v>19</v>
      </c>
      <c r="F606" s="74">
        <v>42694</v>
      </c>
      <c r="G606" s="83">
        <v>140.77000000000001</v>
      </c>
      <c r="H606" s="96"/>
      <c r="K606" s="133"/>
      <c r="L606" s="63"/>
      <c r="M606" s="63"/>
      <c r="N606" s="63"/>
      <c r="O606" s="63"/>
      <c r="P606" s="63"/>
      <c r="Q606" s="63">
        <f t="shared" si="30"/>
        <v>140.77000000000001</v>
      </c>
      <c r="R606" s="63">
        <f t="shared" si="31"/>
        <v>0</v>
      </c>
      <c r="S606" s="63">
        <f t="shared" si="32"/>
        <v>140.77000000000001</v>
      </c>
    </row>
    <row r="607" spans="1:19" x14ac:dyDescent="0.2">
      <c r="A607" s="68">
        <v>133903</v>
      </c>
      <c r="B607" s="68" t="s">
        <v>6894</v>
      </c>
      <c r="C607" s="76">
        <v>400</v>
      </c>
      <c r="D607" s="72" t="s">
        <v>6946</v>
      </c>
      <c r="E607" s="86" t="s">
        <v>19</v>
      </c>
      <c r="F607" s="74">
        <v>42694</v>
      </c>
      <c r="G607" s="83">
        <v>141.80000000000001</v>
      </c>
      <c r="H607" s="96"/>
      <c r="K607" s="133"/>
      <c r="L607" s="63"/>
      <c r="M607" s="63"/>
      <c r="N607" s="63"/>
      <c r="O607" s="63"/>
      <c r="P607" s="63"/>
      <c r="Q607" s="63">
        <f t="shared" ref="Q607:Q670" si="33">+G607+I607+K607+M607+O607</f>
        <v>141.80000000000001</v>
      </c>
      <c r="R607" s="63">
        <f t="shared" ref="R607:R670" si="34">+H607+J607+L607+N607+P607</f>
        <v>0</v>
      </c>
      <c r="S607" s="63">
        <f t="shared" ref="S607:S670" si="35">+Q607+R607</f>
        <v>141.80000000000001</v>
      </c>
    </row>
    <row r="608" spans="1:19" x14ac:dyDescent="0.2">
      <c r="A608" s="68">
        <v>133903</v>
      </c>
      <c r="B608" s="68" t="s">
        <v>6894</v>
      </c>
      <c r="C608" s="76">
        <v>400</v>
      </c>
      <c r="D608" s="72" t="s">
        <v>6947</v>
      </c>
      <c r="E608" s="86" t="s">
        <v>19</v>
      </c>
      <c r="F608" s="74">
        <v>42694</v>
      </c>
      <c r="G608" s="83">
        <v>55.46</v>
      </c>
      <c r="H608" s="96"/>
      <c r="K608" s="133"/>
      <c r="L608" s="63"/>
      <c r="M608" s="63"/>
      <c r="N608" s="63"/>
      <c r="O608" s="63"/>
      <c r="P608" s="63"/>
      <c r="Q608" s="63">
        <f t="shared" si="33"/>
        <v>55.46</v>
      </c>
      <c r="R608" s="63">
        <f t="shared" si="34"/>
        <v>0</v>
      </c>
      <c r="S608" s="63">
        <f t="shared" si="35"/>
        <v>55.46</v>
      </c>
    </row>
    <row r="609" spans="1:19" x14ac:dyDescent="0.2">
      <c r="A609" s="68">
        <v>130721</v>
      </c>
      <c r="B609" s="68" t="s">
        <v>6895</v>
      </c>
      <c r="C609" s="76">
        <v>401</v>
      </c>
      <c r="D609" s="72" t="s">
        <v>6948</v>
      </c>
      <c r="E609" s="86" t="s">
        <v>19</v>
      </c>
      <c r="F609" s="74">
        <v>42694</v>
      </c>
      <c r="G609" s="83">
        <f>84.13</f>
        <v>84.13</v>
      </c>
      <c r="H609" s="96"/>
      <c r="K609" s="133"/>
      <c r="L609" s="63"/>
      <c r="M609" s="63"/>
      <c r="N609" s="63"/>
      <c r="O609" s="63"/>
      <c r="P609" s="63"/>
      <c r="Q609" s="63">
        <f t="shared" si="33"/>
        <v>84.13</v>
      </c>
      <c r="R609" s="63">
        <f t="shared" si="34"/>
        <v>0</v>
      </c>
      <c r="S609" s="63">
        <f t="shared" si="35"/>
        <v>84.13</v>
      </c>
    </row>
    <row r="610" spans="1:19" x14ac:dyDescent="0.2">
      <c r="A610" s="68">
        <v>130721</v>
      </c>
      <c r="B610" s="68" t="s">
        <v>6895</v>
      </c>
      <c r="C610" s="76">
        <v>401</v>
      </c>
      <c r="D610" s="72" t="s">
        <v>6949</v>
      </c>
      <c r="E610" s="86" t="s">
        <v>19</v>
      </c>
      <c r="F610" s="74">
        <v>42694</v>
      </c>
      <c r="G610" s="83">
        <f>47.2</f>
        <v>47.2</v>
      </c>
      <c r="H610" s="96"/>
      <c r="K610" s="133"/>
      <c r="L610" s="63"/>
      <c r="M610" s="63"/>
      <c r="N610" s="63"/>
      <c r="O610" s="63"/>
      <c r="P610" s="63"/>
      <c r="Q610" s="63">
        <f t="shared" si="33"/>
        <v>47.2</v>
      </c>
      <c r="R610" s="63">
        <f t="shared" si="34"/>
        <v>0</v>
      </c>
      <c r="S610" s="63">
        <f t="shared" si="35"/>
        <v>47.2</v>
      </c>
    </row>
    <row r="611" spans="1:19" x14ac:dyDescent="0.2">
      <c r="A611" s="68">
        <v>130721</v>
      </c>
      <c r="B611" s="68" t="s">
        <v>6895</v>
      </c>
      <c r="C611" s="76">
        <v>401</v>
      </c>
      <c r="D611" s="72" t="s">
        <v>6950</v>
      </c>
      <c r="E611" s="86" t="s">
        <v>19</v>
      </c>
      <c r="F611" s="74">
        <v>42694</v>
      </c>
      <c r="G611" s="83"/>
      <c r="H611" s="96"/>
      <c r="K611" s="133"/>
      <c r="L611" s="63"/>
      <c r="M611" s="63"/>
      <c r="N611" s="63"/>
      <c r="O611" s="63"/>
      <c r="P611" s="63"/>
      <c r="Q611" s="63">
        <f t="shared" si="33"/>
        <v>0</v>
      </c>
      <c r="R611" s="63">
        <f t="shared" si="34"/>
        <v>0</v>
      </c>
      <c r="S611" s="63">
        <f t="shared" si="35"/>
        <v>0</v>
      </c>
    </row>
    <row r="612" spans="1:19" x14ac:dyDescent="0.2">
      <c r="A612" s="68">
        <v>130721</v>
      </c>
      <c r="B612" s="68" t="s">
        <v>6895</v>
      </c>
      <c r="C612" s="76">
        <v>401</v>
      </c>
      <c r="D612" s="72" t="s">
        <v>6951</v>
      </c>
      <c r="E612" s="86" t="s">
        <v>19</v>
      </c>
      <c r="F612" s="74">
        <v>42694</v>
      </c>
      <c r="G612" s="83">
        <f>93.57</f>
        <v>93.57</v>
      </c>
      <c r="H612" s="96"/>
      <c r="K612" s="133"/>
      <c r="L612" s="63"/>
      <c r="M612" s="63"/>
      <c r="N612" s="63"/>
      <c r="O612" s="63"/>
      <c r="P612" s="63"/>
      <c r="Q612" s="63">
        <f t="shared" si="33"/>
        <v>93.57</v>
      </c>
      <c r="R612" s="63">
        <f t="shared" si="34"/>
        <v>0</v>
      </c>
      <c r="S612" s="63">
        <f t="shared" si="35"/>
        <v>93.57</v>
      </c>
    </row>
    <row r="613" spans="1:19" x14ac:dyDescent="0.2">
      <c r="A613" s="68">
        <v>130721</v>
      </c>
      <c r="B613" s="68" t="s">
        <v>6895</v>
      </c>
      <c r="C613" s="76">
        <v>401</v>
      </c>
      <c r="D613" s="72" t="s">
        <v>6952</v>
      </c>
      <c r="E613" s="86" t="s">
        <v>19</v>
      </c>
      <c r="F613" s="74">
        <v>42694</v>
      </c>
      <c r="G613" s="83">
        <f>82.6</f>
        <v>82.6</v>
      </c>
      <c r="H613" s="96"/>
      <c r="K613" s="133"/>
      <c r="L613" s="63"/>
      <c r="M613" s="63"/>
      <c r="N613" s="63"/>
      <c r="O613" s="63"/>
      <c r="P613" s="63"/>
      <c r="Q613" s="63">
        <f t="shared" si="33"/>
        <v>82.6</v>
      </c>
      <c r="R613" s="63">
        <f t="shared" si="34"/>
        <v>0</v>
      </c>
      <c r="S613" s="63">
        <f t="shared" si="35"/>
        <v>82.6</v>
      </c>
    </row>
    <row r="614" spans="1:19" x14ac:dyDescent="0.2">
      <c r="A614" s="68">
        <v>136759</v>
      </c>
      <c r="B614" s="68" t="s">
        <v>6896</v>
      </c>
      <c r="C614" s="76">
        <v>402</v>
      </c>
      <c r="D614" s="72" t="s">
        <v>6953</v>
      </c>
      <c r="E614" s="86" t="s">
        <v>19</v>
      </c>
      <c r="F614" s="74">
        <v>42695</v>
      </c>
      <c r="G614" s="83">
        <f>168.21</f>
        <v>168.21</v>
      </c>
      <c r="H614" s="96"/>
      <c r="K614" s="133"/>
      <c r="L614" s="63"/>
      <c r="M614" s="63"/>
      <c r="N614" s="63"/>
      <c r="O614" s="63"/>
      <c r="P614" s="63"/>
      <c r="Q614" s="63">
        <f t="shared" si="33"/>
        <v>168.21</v>
      </c>
      <c r="R614" s="63">
        <f t="shared" si="34"/>
        <v>0</v>
      </c>
      <c r="S614" s="63">
        <f t="shared" si="35"/>
        <v>168.21</v>
      </c>
    </row>
    <row r="615" spans="1:19" x14ac:dyDescent="0.2">
      <c r="A615" s="68">
        <v>141375</v>
      </c>
      <c r="B615" s="68" t="s">
        <v>6897</v>
      </c>
      <c r="C615" s="76">
        <v>403</v>
      </c>
      <c r="D615" s="72" t="s">
        <v>6954</v>
      </c>
      <c r="E615" s="86" t="s">
        <v>19</v>
      </c>
      <c r="F615" s="74">
        <v>42697</v>
      </c>
      <c r="G615" s="83">
        <f>300+317.9</f>
        <v>617.9</v>
      </c>
      <c r="H615" s="96"/>
      <c r="K615" s="133"/>
      <c r="L615" s="63"/>
      <c r="M615" s="63"/>
      <c r="N615" s="63"/>
      <c r="O615" s="63"/>
      <c r="P615" s="63"/>
      <c r="Q615" s="63">
        <f t="shared" si="33"/>
        <v>617.9</v>
      </c>
      <c r="R615" s="63">
        <f t="shared" si="34"/>
        <v>0</v>
      </c>
      <c r="S615" s="63">
        <f t="shared" si="35"/>
        <v>617.9</v>
      </c>
    </row>
    <row r="616" spans="1:19" x14ac:dyDescent="0.2">
      <c r="A616" s="68">
        <v>129859</v>
      </c>
      <c r="B616" s="68" t="s">
        <v>6898</v>
      </c>
      <c r="C616" s="76">
        <v>404</v>
      </c>
      <c r="D616" s="72" t="s">
        <v>6967</v>
      </c>
      <c r="E616" s="86" t="s">
        <v>19</v>
      </c>
      <c r="F616" s="74">
        <v>42697</v>
      </c>
      <c r="G616" s="83">
        <f>278.31</f>
        <v>278.31</v>
      </c>
      <c r="H616" s="96"/>
      <c r="K616" s="133"/>
      <c r="L616" s="63"/>
      <c r="M616" s="63"/>
      <c r="N616" s="63"/>
      <c r="O616" s="63"/>
      <c r="P616" s="63"/>
      <c r="Q616" s="63">
        <f t="shared" si="33"/>
        <v>278.31</v>
      </c>
      <c r="R616" s="63">
        <f t="shared" si="34"/>
        <v>0</v>
      </c>
      <c r="S616" s="63">
        <f t="shared" si="35"/>
        <v>278.31</v>
      </c>
    </row>
    <row r="617" spans="1:19" x14ac:dyDescent="0.2">
      <c r="A617" s="68">
        <v>129859</v>
      </c>
      <c r="B617" s="68" t="s">
        <v>6898</v>
      </c>
      <c r="C617" s="76">
        <v>404</v>
      </c>
      <c r="D617" s="72" t="s">
        <v>6955</v>
      </c>
      <c r="E617" s="86" t="s">
        <v>19</v>
      </c>
      <c r="F617" s="74">
        <v>42697</v>
      </c>
      <c r="G617" s="83">
        <f>331.57</f>
        <v>331.57</v>
      </c>
      <c r="H617" s="96"/>
      <c r="K617" s="133"/>
      <c r="L617" s="63"/>
      <c r="M617" s="63"/>
      <c r="N617" s="63"/>
      <c r="O617" s="63"/>
      <c r="P617" s="63"/>
      <c r="Q617" s="63">
        <f t="shared" si="33"/>
        <v>331.57</v>
      </c>
      <c r="R617" s="63">
        <f t="shared" si="34"/>
        <v>0</v>
      </c>
      <c r="S617" s="63">
        <f t="shared" si="35"/>
        <v>331.57</v>
      </c>
    </row>
    <row r="618" spans="1:19" x14ac:dyDescent="0.2">
      <c r="A618" s="68">
        <v>131997</v>
      </c>
      <c r="B618" s="68" t="s">
        <v>6899</v>
      </c>
      <c r="C618" s="76">
        <v>405</v>
      </c>
      <c r="D618" s="72" t="s">
        <v>6956</v>
      </c>
      <c r="E618" s="86" t="s">
        <v>19</v>
      </c>
      <c r="F618" s="74">
        <v>42698</v>
      </c>
      <c r="G618" s="83">
        <f>236.75</f>
        <v>236.75</v>
      </c>
      <c r="H618" s="96"/>
      <c r="K618" s="133"/>
      <c r="L618" s="63"/>
      <c r="M618" s="63"/>
      <c r="N618" s="63"/>
      <c r="O618" s="63"/>
      <c r="P618" s="63"/>
      <c r="Q618" s="63">
        <f t="shared" si="33"/>
        <v>236.75</v>
      </c>
      <c r="R618" s="63">
        <f t="shared" si="34"/>
        <v>0</v>
      </c>
      <c r="S618" s="63">
        <f t="shared" si="35"/>
        <v>236.75</v>
      </c>
    </row>
    <row r="619" spans="1:19" x14ac:dyDescent="0.2">
      <c r="A619" s="68">
        <v>130070</v>
      </c>
      <c r="B619" s="68" t="s">
        <v>6900</v>
      </c>
      <c r="C619" s="76">
        <v>406</v>
      </c>
      <c r="D619" s="72" t="s">
        <v>6957</v>
      </c>
      <c r="E619" s="86" t="s">
        <v>19</v>
      </c>
      <c r="F619" s="74">
        <v>42698</v>
      </c>
      <c r="G619" s="83">
        <f>78</f>
        <v>78</v>
      </c>
      <c r="H619" s="96"/>
      <c r="K619" s="133"/>
      <c r="L619" s="63"/>
      <c r="M619" s="63"/>
      <c r="N619" s="63"/>
      <c r="O619" s="63"/>
      <c r="P619" s="63"/>
      <c r="Q619" s="63">
        <f t="shared" si="33"/>
        <v>78</v>
      </c>
      <c r="R619" s="63">
        <f t="shared" si="34"/>
        <v>0</v>
      </c>
      <c r="S619" s="63">
        <f t="shared" si="35"/>
        <v>78</v>
      </c>
    </row>
    <row r="620" spans="1:19" x14ac:dyDescent="0.2">
      <c r="A620" s="68">
        <v>130220</v>
      </c>
      <c r="B620" s="68" t="s">
        <v>6901</v>
      </c>
      <c r="C620" s="76">
        <v>407</v>
      </c>
      <c r="D620" s="72" t="s">
        <v>6958</v>
      </c>
      <c r="E620" s="86" t="s">
        <v>19</v>
      </c>
      <c r="F620" s="74">
        <v>42699</v>
      </c>
      <c r="G620" s="83">
        <f>73.16</f>
        <v>73.16</v>
      </c>
      <c r="H620" s="96"/>
      <c r="K620" s="133"/>
      <c r="L620" s="63"/>
      <c r="M620" s="63"/>
      <c r="N620" s="63"/>
      <c r="O620" s="63"/>
      <c r="P620" s="63"/>
      <c r="Q620" s="63">
        <f t="shared" si="33"/>
        <v>73.16</v>
      </c>
      <c r="R620" s="63">
        <f t="shared" si="34"/>
        <v>0</v>
      </c>
      <c r="S620" s="63">
        <f t="shared" si="35"/>
        <v>73.16</v>
      </c>
    </row>
    <row r="621" spans="1:19" x14ac:dyDescent="0.2">
      <c r="A621" s="68">
        <v>138125</v>
      </c>
      <c r="B621" s="68" t="s">
        <v>6902</v>
      </c>
      <c r="C621" s="76">
        <v>408</v>
      </c>
      <c r="D621" s="72" t="s">
        <v>6959</v>
      </c>
      <c r="E621" s="86" t="s">
        <v>19</v>
      </c>
      <c r="F621" s="74">
        <v>42699</v>
      </c>
      <c r="G621" s="83"/>
      <c r="H621" s="96"/>
      <c r="K621" s="133"/>
      <c r="L621" s="63"/>
      <c r="M621" s="63"/>
      <c r="N621" s="63"/>
      <c r="O621" s="63"/>
      <c r="P621" s="63"/>
      <c r="Q621" s="63">
        <f t="shared" si="33"/>
        <v>0</v>
      </c>
      <c r="R621" s="63">
        <f t="shared" si="34"/>
        <v>0</v>
      </c>
      <c r="S621" s="63">
        <f t="shared" si="35"/>
        <v>0</v>
      </c>
    </row>
    <row r="622" spans="1:19" x14ac:dyDescent="0.2">
      <c r="A622" s="68">
        <v>138125</v>
      </c>
      <c r="B622" s="68" t="s">
        <v>6902</v>
      </c>
      <c r="C622" s="76">
        <v>408</v>
      </c>
      <c r="D622" s="72" t="s">
        <v>6960</v>
      </c>
      <c r="E622" s="86" t="s">
        <v>19</v>
      </c>
      <c r="F622" s="74">
        <v>42699</v>
      </c>
      <c r="G622" s="83"/>
      <c r="H622" s="96"/>
      <c r="K622" s="133"/>
      <c r="L622" s="63"/>
      <c r="M622" s="63"/>
      <c r="N622" s="63"/>
      <c r="O622" s="63"/>
      <c r="P622" s="63"/>
      <c r="Q622" s="63">
        <f t="shared" si="33"/>
        <v>0</v>
      </c>
      <c r="R622" s="63">
        <f t="shared" si="34"/>
        <v>0</v>
      </c>
      <c r="S622" s="63">
        <f t="shared" si="35"/>
        <v>0</v>
      </c>
    </row>
    <row r="623" spans="1:19" x14ac:dyDescent="0.2">
      <c r="A623" s="68">
        <v>138125</v>
      </c>
      <c r="B623" s="68" t="s">
        <v>6902</v>
      </c>
      <c r="C623" s="76">
        <v>408</v>
      </c>
      <c r="D623" s="72" t="s">
        <v>6961</v>
      </c>
      <c r="E623" s="86" t="s">
        <v>19</v>
      </c>
      <c r="F623" s="74">
        <v>42699</v>
      </c>
      <c r="G623" s="83"/>
      <c r="H623" s="96"/>
      <c r="K623" s="133"/>
      <c r="L623" s="63"/>
      <c r="M623" s="63"/>
      <c r="N623" s="63"/>
      <c r="O623" s="63"/>
      <c r="P623" s="63"/>
      <c r="Q623" s="63">
        <f t="shared" si="33"/>
        <v>0</v>
      </c>
      <c r="R623" s="63">
        <f t="shared" si="34"/>
        <v>0</v>
      </c>
      <c r="S623" s="63">
        <f t="shared" si="35"/>
        <v>0</v>
      </c>
    </row>
    <row r="624" spans="1:19" x14ac:dyDescent="0.2">
      <c r="A624" s="68">
        <v>138125</v>
      </c>
      <c r="B624" s="68" t="s">
        <v>6902</v>
      </c>
      <c r="C624" s="76">
        <v>408</v>
      </c>
      <c r="D624" s="72" t="s">
        <v>6962</v>
      </c>
      <c r="E624" s="86" t="s">
        <v>19</v>
      </c>
      <c r="F624" s="74">
        <v>42699</v>
      </c>
      <c r="G624" s="83"/>
      <c r="H624" s="96"/>
      <c r="K624" s="133"/>
      <c r="L624" s="63"/>
      <c r="M624" s="63"/>
      <c r="N624" s="63"/>
      <c r="O624" s="63"/>
      <c r="P624" s="63"/>
      <c r="Q624" s="63">
        <f t="shared" si="33"/>
        <v>0</v>
      </c>
      <c r="R624" s="63">
        <f t="shared" si="34"/>
        <v>0</v>
      </c>
      <c r="S624" s="63">
        <f t="shared" si="35"/>
        <v>0</v>
      </c>
    </row>
    <row r="625" spans="1:19" x14ac:dyDescent="0.2">
      <c r="A625" s="68">
        <v>129496</v>
      </c>
      <c r="B625" s="68" t="s">
        <v>6903</v>
      </c>
      <c r="C625" s="76">
        <v>409</v>
      </c>
      <c r="D625" s="72" t="s">
        <v>6963</v>
      </c>
      <c r="E625" s="86" t="s">
        <v>19</v>
      </c>
      <c r="F625" s="74">
        <v>42700</v>
      </c>
      <c r="G625" s="83">
        <f>50.2</f>
        <v>50.2</v>
      </c>
      <c r="H625" s="96"/>
      <c r="K625" s="133"/>
      <c r="L625" s="63"/>
      <c r="M625" s="63"/>
      <c r="N625" s="63"/>
      <c r="O625" s="63"/>
      <c r="P625" s="63"/>
      <c r="Q625" s="63">
        <f t="shared" si="33"/>
        <v>50.2</v>
      </c>
      <c r="R625" s="63">
        <f t="shared" si="34"/>
        <v>0</v>
      </c>
      <c r="S625" s="63">
        <f t="shared" si="35"/>
        <v>50.2</v>
      </c>
    </row>
    <row r="626" spans="1:19" x14ac:dyDescent="0.2">
      <c r="A626" s="68">
        <v>141706</v>
      </c>
      <c r="B626" s="68" t="s">
        <v>6904</v>
      </c>
      <c r="C626" s="76">
        <v>410</v>
      </c>
      <c r="D626" s="72" t="s">
        <v>6964</v>
      </c>
      <c r="E626" s="86" t="s">
        <v>19</v>
      </c>
      <c r="F626" s="74">
        <v>42700</v>
      </c>
      <c r="G626" s="83">
        <f>101.3</f>
        <v>101.3</v>
      </c>
      <c r="H626" s="96"/>
      <c r="K626" s="133"/>
      <c r="L626" s="63"/>
      <c r="M626" s="63"/>
      <c r="N626" s="63"/>
      <c r="O626" s="63"/>
      <c r="P626" s="63"/>
      <c r="Q626" s="63">
        <f t="shared" si="33"/>
        <v>101.3</v>
      </c>
      <c r="R626" s="63">
        <f t="shared" si="34"/>
        <v>0</v>
      </c>
      <c r="S626" s="63">
        <f t="shared" si="35"/>
        <v>101.3</v>
      </c>
    </row>
    <row r="627" spans="1:19" x14ac:dyDescent="0.2">
      <c r="A627" s="68">
        <v>147306</v>
      </c>
      <c r="B627" s="68" t="s">
        <v>6905</v>
      </c>
      <c r="C627" s="76">
        <v>411</v>
      </c>
      <c r="D627" s="72" t="s">
        <v>6965</v>
      </c>
      <c r="E627" s="86" t="s">
        <v>19</v>
      </c>
      <c r="F627" s="74">
        <v>42701</v>
      </c>
      <c r="G627" s="83">
        <f>117.02</f>
        <v>117.02</v>
      </c>
      <c r="H627" s="96"/>
      <c r="K627" s="133"/>
      <c r="L627" s="63"/>
      <c r="M627" s="63"/>
      <c r="N627" s="63"/>
      <c r="O627" s="63"/>
      <c r="P627" s="63"/>
      <c r="Q627" s="63">
        <f t="shared" si="33"/>
        <v>117.02</v>
      </c>
      <c r="R627" s="63">
        <f t="shared" si="34"/>
        <v>0</v>
      </c>
      <c r="S627" s="63">
        <f t="shared" si="35"/>
        <v>117.02</v>
      </c>
    </row>
    <row r="628" spans="1:19" x14ac:dyDescent="0.2">
      <c r="A628" s="68">
        <v>147306</v>
      </c>
      <c r="B628" s="68" t="s">
        <v>6905</v>
      </c>
      <c r="C628" s="76">
        <v>411</v>
      </c>
      <c r="D628" s="72" t="s">
        <v>6966</v>
      </c>
      <c r="E628" s="86" t="s">
        <v>19</v>
      </c>
      <c r="F628" s="74">
        <v>42701</v>
      </c>
      <c r="G628" s="83">
        <f>117.02+214.27+41.3+105+236.04</f>
        <v>713.63</v>
      </c>
      <c r="H628" s="96"/>
      <c r="K628" s="133"/>
      <c r="L628" s="63"/>
      <c r="M628" s="63"/>
      <c r="N628" s="63"/>
      <c r="O628" s="63"/>
      <c r="P628" s="63"/>
      <c r="Q628" s="63">
        <f t="shared" si="33"/>
        <v>713.63</v>
      </c>
      <c r="R628" s="63">
        <f t="shared" si="34"/>
        <v>0</v>
      </c>
      <c r="S628" s="63">
        <f t="shared" si="35"/>
        <v>713.63</v>
      </c>
    </row>
    <row r="629" spans="1:19" x14ac:dyDescent="0.2">
      <c r="A629" s="68">
        <v>131886</v>
      </c>
      <c r="B629" s="68" t="s">
        <v>6906</v>
      </c>
      <c r="C629" s="76">
        <v>412</v>
      </c>
      <c r="D629" s="72" t="s">
        <v>6968</v>
      </c>
      <c r="E629" s="86" t="s">
        <v>19</v>
      </c>
      <c r="F629" s="74">
        <v>42701</v>
      </c>
      <c r="G629" s="83">
        <f>140.89</f>
        <v>140.88999999999999</v>
      </c>
      <c r="H629" s="96"/>
      <c r="K629" s="133"/>
      <c r="L629" s="63"/>
      <c r="M629" s="63"/>
      <c r="N629" s="63"/>
      <c r="O629" s="63"/>
      <c r="P629" s="63"/>
      <c r="Q629" s="63">
        <f t="shared" si="33"/>
        <v>140.88999999999999</v>
      </c>
      <c r="R629" s="63">
        <f t="shared" si="34"/>
        <v>0</v>
      </c>
      <c r="S629" s="63">
        <f t="shared" si="35"/>
        <v>140.88999999999999</v>
      </c>
    </row>
    <row r="630" spans="1:19" x14ac:dyDescent="0.2">
      <c r="A630" s="68">
        <v>131886</v>
      </c>
      <c r="B630" s="68" t="s">
        <v>6906</v>
      </c>
      <c r="C630" s="76">
        <v>412</v>
      </c>
      <c r="D630" s="72" t="s">
        <v>6969</v>
      </c>
      <c r="E630" s="86" t="s">
        <v>19</v>
      </c>
      <c r="F630" s="74">
        <v>42701</v>
      </c>
      <c r="G630" s="83">
        <f>82.6</f>
        <v>82.6</v>
      </c>
      <c r="H630" s="96"/>
      <c r="K630" s="133"/>
      <c r="L630" s="63"/>
      <c r="M630" s="63"/>
      <c r="N630" s="63"/>
      <c r="O630" s="63"/>
      <c r="P630" s="63"/>
      <c r="Q630" s="63">
        <f t="shared" si="33"/>
        <v>82.6</v>
      </c>
      <c r="R630" s="63">
        <f t="shared" si="34"/>
        <v>0</v>
      </c>
      <c r="S630" s="63">
        <f t="shared" si="35"/>
        <v>82.6</v>
      </c>
    </row>
    <row r="631" spans="1:19" x14ac:dyDescent="0.2">
      <c r="A631" s="68">
        <v>131886</v>
      </c>
      <c r="B631" s="68" t="s">
        <v>6906</v>
      </c>
      <c r="C631" s="76">
        <v>412</v>
      </c>
      <c r="D631" s="72" t="s">
        <v>6970</v>
      </c>
      <c r="E631" s="86" t="s">
        <v>19</v>
      </c>
      <c r="F631" s="74">
        <v>42701</v>
      </c>
      <c r="G631" s="83">
        <f>87.38</f>
        <v>87.38</v>
      </c>
      <c r="H631" s="96"/>
      <c r="K631" s="133"/>
      <c r="L631" s="63"/>
      <c r="M631" s="63"/>
      <c r="N631" s="63"/>
      <c r="O631" s="63"/>
      <c r="P631" s="63"/>
      <c r="Q631" s="63">
        <f t="shared" si="33"/>
        <v>87.38</v>
      </c>
      <c r="R631" s="63">
        <f t="shared" si="34"/>
        <v>0</v>
      </c>
      <c r="S631" s="63">
        <f t="shared" si="35"/>
        <v>87.38</v>
      </c>
    </row>
    <row r="632" spans="1:19" x14ac:dyDescent="0.2">
      <c r="A632" s="68">
        <v>131886</v>
      </c>
      <c r="B632" s="68" t="s">
        <v>6906</v>
      </c>
      <c r="C632" s="76">
        <v>412</v>
      </c>
      <c r="D632" s="72" t="s">
        <v>6971</v>
      </c>
      <c r="E632" s="86" t="s">
        <v>19</v>
      </c>
      <c r="F632" s="74">
        <v>42701</v>
      </c>
      <c r="G632" s="83">
        <f>82.6</f>
        <v>82.6</v>
      </c>
      <c r="H632" s="96"/>
      <c r="K632" s="133"/>
      <c r="L632" s="63"/>
      <c r="M632" s="63"/>
      <c r="N632" s="63"/>
      <c r="O632" s="63"/>
      <c r="P632" s="63"/>
      <c r="Q632" s="63">
        <f t="shared" si="33"/>
        <v>82.6</v>
      </c>
      <c r="R632" s="63">
        <f t="shared" si="34"/>
        <v>0</v>
      </c>
      <c r="S632" s="63">
        <f t="shared" si="35"/>
        <v>82.6</v>
      </c>
    </row>
    <row r="633" spans="1:19" x14ac:dyDescent="0.2">
      <c r="A633" s="68">
        <v>138316</v>
      </c>
      <c r="B633" s="68" t="s">
        <v>6907</v>
      </c>
      <c r="C633" s="76">
        <v>413</v>
      </c>
      <c r="D633" s="72" t="s">
        <v>6972</v>
      </c>
      <c r="E633" s="86" t="s">
        <v>19</v>
      </c>
      <c r="F633" s="74">
        <v>42702</v>
      </c>
      <c r="G633" s="83">
        <f>14045.4</f>
        <v>14045.4</v>
      </c>
      <c r="H633" s="96"/>
      <c r="K633" s="133"/>
      <c r="L633" s="63"/>
      <c r="M633" s="63"/>
      <c r="N633" s="63">
        <v>3950</v>
      </c>
      <c r="O633" s="63">
        <v>15800</v>
      </c>
      <c r="P633" s="63"/>
      <c r="Q633" s="63">
        <f t="shared" si="33"/>
        <v>29845.4</v>
      </c>
      <c r="R633" s="63">
        <f t="shared" si="34"/>
        <v>3950</v>
      </c>
      <c r="S633" s="63">
        <f t="shared" si="35"/>
        <v>33795.4</v>
      </c>
    </row>
    <row r="634" spans="1:19" x14ac:dyDescent="0.2">
      <c r="A634" s="68">
        <v>131743</v>
      </c>
      <c r="B634" s="68" t="s">
        <v>6908</v>
      </c>
      <c r="C634" s="76">
        <v>414</v>
      </c>
      <c r="D634" s="72" t="s">
        <v>6973</v>
      </c>
      <c r="E634" s="86" t="s">
        <v>19</v>
      </c>
      <c r="F634" s="74">
        <v>42702</v>
      </c>
      <c r="G634" s="83">
        <f>147.5</f>
        <v>147.5</v>
      </c>
      <c r="H634" s="96"/>
      <c r="K634" s="133"/>
      <c r="L634" s="63"/>
      <c r="M634" s="63"/>
      <c r="N634" s="63"/>
      <c r="O634" s="63"/>
      <c r="P634" s="63"/>
      <c r="Q634" s="63">
        <f t="shared" si="33"/>
        <v>147.5</v>
      </c>
      <c r="R634" s="63">
        <f t="shared" si="34"/>
        <v>0</v>
      </c>
      <c r="S634" s="63">
        <f t="shared" si="35"/>
        <v>147.5</v>
      </c>
    </row>
    <row r="635" spans="1:19" x14ac:dyDescent="0.2">
      <c r="A635" s="68">
        <v>144562</v>
      </c>
      <c r="B635" s="68" t="s">
        <v>6909</v>
      </c>
      <c r="C635" s="76">
        <v>415</v>
      </c>
      <c r="D635" s="72" t="s">
        <v>6974</v>
      </c>
      <c r="E635" s="86" t="s">
        <v>19</v>
      </c>
      <c r="F635" s="74">
        <v>42702</v>
      </c>
      <c r="G635" s="83">
        <f>177</f>
        <v>177</v>
      </c>
      <c r="H635" s="96"/>
      <c r="K635" s="133"/>
      <c r="L635" s="63"/>
      <c r="M635" s="63"/>
      <c r="N635" s="63"/>
      <c r="O635" s="63"/>
      <c r="P635" s="63"/>
      <c r="Q635" s="63">
        <f t="shared" si="33"/>
        <v>177</v>
      </c>
      <c r="R635" s="63">
        <f t="shared" si="34"/>
        <v>0</v>
      </c>
      <c r="S635" s="63">
        <f t="shared" si="35"/>
        <v>177</v>
      </c>
    </row>
    <row r="636" spans="1:19" x14ac:dyDescent="0.2">
      <c r="A636" s="68">
        <v>140635</v>
      </c>
      <c r="B636" s="68" t="s">
        <v>6910</v>
      </c>
      <c r="C636" s="76">
        <v>416</v>
      </c>
      <c r="D636" s="72" t="s">
        <v>6975</v>
      </c>
      <c r="E636" s="86" t="s">
        <v>19</v>
      </c>
      <c r="F636" s="74">
        <v>42703</v>
      </c>
      <c r="G636" s="83">
        <f>193.6</f>
        <v>193.6</v>
      </c>
      <c r="H636" s="96"/>
      <c r="K636" s="133"/>
      <c r="L636" s="63"/>
      <c r="M636" s="63"/>
      <c r="N636" s="63"/>
      <c r="O636" s="63"/>
      <c r="P636" s="63"/>
      <c r="Q636" s="63">
        <f t="shared" si="33"/>
        <v>193.6</v>
      </c>
      <c r="R636" s="63">
        <f t="shared" si="34"/>
        <v>0</v>
      </c>
      <c r="S636" s="63">
        <f t="shared" si="35"/>
        <v>193.6</v>
      </c>
    </row>
    <row r="637" spans="1:19" x14ac:dyDescent="0.2">
      <c r="A637" s="68">
        <v>140635</v>
      </c>
      <c r="B637" s="68" t="s">
        <v>6910</v>
      </c>
      <c r="C637" s="76">
        <v>416</v>
      </c>
      <c r="D637" s="72" t="s">
        <v>6976</v>
      </c>
      <c r="E637" s="86" t="s">
        <v>19</v>
      </c>
      <c r="F637" s="74">
        <v>42703</v>
      </c>
      <c r="G637" s="83">
        <f>173+86.85</f>
        <v>259.85000000000002</v>
      </c>
      <c r="H637" s="96"/>
      <c r="K637" s="133"/>
      <c r="L637" s="63"/>
      <c r="M637" s="63"/>
      <c r="N637" s="63"/>
      <c r="O637" s="63"/>
      <c r="P637" s="63"/>
      <c r="Q637" s="63">
        <f t="shared" si="33"/>
        <v>259.85000000000002</v>
      </c>
      <c r="R637" s="63">
        <f t="shared" si="34"/>
        <v>0</v>
      </c>
      <c r="S637" s="63">
        <f t="shared" si="35"/>
        <v>259.85000000000002</v>
      </c>
    </row>
    <row r="638" spans="1:19" x14ac:dyDescent="0.2">
      <c r="A638" s="68">
        <v>131808</v>
      </c>
      <c r="B638" s="68" t="s">
        <v>6911</v>
      </c>
      <c r="C638" s="76">
        <v>417</v>
      </c>
      <c r="D638" s="72" t="s">
        <v>6977</v>
      </c>
      <c r="E638" s="86" t="s">
        <v>19</v>
      </c>
      <c r="F638" s="74">
        <v>42704</v>
      </c>
      <c r="G638" s="83">
        <f>168.7+146.37</f>
        <v>315.07</v>
      </c>
      <c r="H638" s="96"/>
      <c r="K638" s="133"/>
      <c r="L638" s="63"/>
      <c r="M638" s="63"/>
      <c r="N638" s="63"/>
      <c r="O638" s="63"/>
      <c r="P638" s="63"/>
      <c r="Q638" s="63">
        <f t="shared" si="33"/>
        <v>315.07</v>
      </c>
      <c r="R638" s="63">
        <f t="shared" si="34"/>
        <v>0</v>
      </c>
      <c r="S638" s="63">
        <f t="shared" si="35"/>
        <v>315.07</v>
      </c>
    </row>
    <row r="639" spans="1:19" x14ac:dyDescent="0.2">
      <c r="A639" s="68">
        <v>132795</v>
      </c>
      <c r="B639" s="68" t="s">
        <v>7056</v>
      </c>
      <c r="C639" s="76">
        <v>418</v>
      </c>
      <c r="D639" s="72" t="s">
        <v>7129</v>
      </c>
      <c r="E639" s="86" t="s">
        <v>19</v>
      </c>
      <c r="F639" s="74">
        <v>42705</v>
      </c>
      <c r="G639" s="83">
        <f>538+689.84</f>
        <v>1227.8400000000001</v>
      </c>
      <c r="H639" s="96"/>
      <c r="K639" s="133"/>
      <c r="L639" s="63"/>
      <c r="M639" s="63"/>
      <c r="N639" s="63"/>
      <c r="O639" s="63"/>
      <c r="P639" s="63"/>
      <c r="Q639" s="63">
        <f t="shared" si="33"/>
        <v>1227.8400000000001</v>
      </c>
      <c r="R639" s="63">
        <f t="shared" si="34"/>
        <v>0</v>
      </c>
      <c r="S639" s="63">
        <f t="shared" si="35"/>
        <v>1227.8400000000001</v>
      </c>
    </row>
    <row r="640" spans="1:19" x14ac:dyDescent="0.2">
      <c r="A640" s="68">
        <v>135939</v>
      </c>
      <c r="B640" s="68" t="s">
        <v>7030</v>
      </c>
      <c r="C640" s="76">
        <v>419</v>
      </c>
      <c r="D640" s="72" t="s">
        <v>6981</v>
      </c>
      <c r="E640" s="86" t="s">
        <v>19</v>
      </c>
      <c r="F640" s="74">
        <v>42707</v>
      </c>
      <c r="G640" s="83">
        <v>58.72</v>
      </c>
      <c r="H640" s="96"/>
      <c r="I640" s="63">
        <f>850+850</f>
        <v>1700</v>
      </c>
      <c r="K640" s="133"/>
      <c r="L640" s="63"/>
      <c r="M640" s="63"/>
      <c r="N640" s="63"/>
      <c r="O640" s="63"/>
      <c r="P640" s="63"/>
      <c r="Q640" s="63">
        <f t="shared" si="33"/>
        <v>1758.72</v>
      </c>
      <c r="R640" s="63">
        <f t="shared" si="34"/>
        <v>0</v>
      </c>
      <c r="S640" s="63">
        <f t="shared" si="35"/>
        <v>1758.72</v>
      </c>
    </row>
    <row r="641" spans="1:19" x14ac:dyDescent="0.2">
      <c r="A641" s="68">
        <v>141466</v>
      </c>
      <c r="B641" s="68" t="s">
        <v>7031</v>
      </c>
      <c r="C641" s="76">
        <v>420</v>
      </c>
      <c r="D641" s="72" t="s">
        <v>6982</v>
      </c>
      <c r="E641" s="86" t="s">
        <v>19</v>
      </c>
      <c r="F641" s="74">
        <v>42709</v>
      </c>
      <c r="G641" s="83">
        <f>40.37</f>
        <v>40.369999999999997</v>
      </c>
      <c r="H641" s="96"/>
      <c r="K641" s="133"/>
      <c r="L641" s="63"/>
      <c r="M641" s="63"/>
      <c r="N641" s="63"/>
      <c r="O641" s="63"/>
      <c r="P641" s="63"/>
      <c r="Q641" s="63">
        <f t="shared" si="33"/>
        <v>40.369999999999997</v>
      </c>
      <c r="R641" s="63">
        <f t="shared" si="34"/>
        <v>0</v>
      </c>
      <c r="S641" s="63">
        <f t="shared" si="35"/>
        <v>40.369999999999997</v>
      </c>
    </row>
    <row r="642" spans="1:19" x14ac:dyDescent="0.2">
      <c r="A642" s="68">
        <v>141466</v>
      </c>
      <c r="B642" s="68" t="s">
        <v>7031</v>
      </c>
      <c r="C642" s="76">
        <v>420</v>
      </c>
      <c r="D642" s="72" t="s">
        <v>6983</v>
      </c>
      <c r="E642" s="86" t="s">
        <v>19</v>
      </c>
      <c r="F642" s="74">
        <v>42709</v>
      </c>
      <c r="G642" s="83">
        <f>41.5</f>
        <v>41.5</v>
      </c>
      <c r="H642" s="96"/>
      <c r="K642" s="133"/>
      <c r="L642" s="63"/>
      <c r="M642" s="63"/>
      <c r="N642" s="63"/>
      <c r="O642" s="63"/>
      <c r="P642" s="63"/>
      <c r="Q642" s="63">
        <f t="shared" si="33"/>
        <v>41.5</v>
      </c>
      <c r="R642" s="63">
        <f t="shared" si="34"/>
        <v>0</v>
      </c>
      <c r="S642" s="63">
        <f t="shared" si="35"/>
        <v>41.5</v>
      </c>
    </row>
    <row r="643" spans="1:19" x14ac:dyDescent="0.2">
      <c r="A643" s="68">
        <v>141199</v>
      </c>
      <c r="B643" s="68" t="s">
        <v>7032</v>
      </c>
      <c r="C643" s="76">
        <v>421</v>
      </c>
      <c r="D643" s="72" t="s">
        <v>6984</v>
      </c>
      <c r="E643" s="86" t="s">
        <v>4064</v>
      </c>
      <c r="F643" s="74">
        <v>42711</v>
      </c>
      <c r="G643" s="83">
        <f>68</f>
        <v>68</v>
      </c>
      <c r="H643" s="96"/>
      <c r="K643" s="133"/>
      <c r="L643" s="63"/>
      <c r="M643" s="63"/>
      <c r="N643" s="63"/>
      <c r="O643" s="63"/>
      <c r="P643" s="63"/>
      <c r="Q643" s="63">
        <f t="shared" si="33"/>
        <v>68</v>
      </c>
      <c r="R643" s="63">
        <f t="shared" si="34"/>
        <v>0</v>
      </c>
      <c r="S643" s="63">
        <f t="shared" si="35"/>
        <v>68</v>
      </c>
    </row>
    <row r="644" spans="1:19" x14ac:dyDescent="0.2">
      <c r="A644" s="68">
        <v>141199</v>
      </c>
      <c r="B644" s="68" t="s">
        <v>7032</v>
      </c>
      <c r="C644" s="76">
        <v>421</v>
      </c>
      <c r="D644" s="72" t="s">
        <v>6985</v>
      </c>
      <c r="E644" s="86" t="s">
        <v>4064</v>
      </c>
      <c r="F644" s="74">
        <v>42711</v>
      </c>
      <c r="G644" s="83">
        <f>90</f>
        <v>90</v>
      </c>
      <c r="H644" s="96"/>
      <c r="K644" s="133"/>
      <c r="L644" s="63"/>
      <c r="M644" s="63"/>
      <c r="N644" s="63"/>
      <c r="O644" s="63"/>
      <c r="P644" s="63"/>
      <c r="Q644" s="63">
        <f t="shared" si="33"/>
        <v>90</v>
      </c>
      <c r="R644" s="63">
        <f t="shared" si="34"/>
        <v>0</v>
      </c>
      <c r="S644" s="63">
        <f t="shared" si="35"/>
        <v>90</v>
      </c>
    </row>
    <row r="645" spans="1:19" x14ac:dyDescent="0.2">
      <c r="A645" s="68">
        <v>130538</v>
      </c>
      <c r="B645" s="68" t="s">
        <v>7033</v>
      </c>
      <c r="C645" s="76">
        <v>422</v>
      </c>
      <c r="D645" s="72" t="s">
        <v>6986</v>
      </c>
      <c r="E645" s="86" t="s">
        <v>19</v>
      </c>
      <c r="F645" s="74">
        <v>42711</v>
      </c>
      <c r="G645" s="83">
        <f>103.03+20+170.27+208.33</f>
        <v>501.63</v>
      </c>
      <c r="H645" s="96"/>
      <c r="I645" s="63">
        <f>906.67</f>
        <v>906.67</v>
      </c>
      <c r="K645" s="133"/>
      <c r="L645" s="63"/>
      <c r="M645" s="63"/>
      <c r="N645" s="63"/>
      <c r="O645" s="63"/>
      <c r="P645" s="63"/>
      <c r="Q645" s="63">
        <f t="shared" si="33"/>
        <v>1408.3</v>
      </c>
      <c r="R645" s="63">
        <f t="shared" si="34"/>
        <v>0</v>
      </c>
      <c r="S645" s="63">
        <f t="shared" si="35"/>
        <v>1408.3</v>
      </c>
    </row>
    <row r="646" spans="1:19" x14ac:dyDescent="0.2">
      <c r="A646" s="68">
        <v>135162</v>
      </c>
      <c r="B646" s="68" t="s">
        <v>7034</v>
      </c>
      <c r="C646" s="76">
        <v>423</v>
      </c>
      <c r="D646" s="72" t="s">
        <v>6987</v>
      </c>
      <c r="E646" s="86" t="s">
        <v>19</v>
      </c>
      <c r="F646" s="74">
        <v>42711</v>
      </c>
      <c r="G646" s="83">
        <f>94.21+41.3</f>
        <v>135.51</v>
      </c>
      <c r="H646" s="96"/>
      <c r="K646" s="133"/>
      <c r="L646" s="63"/>
      <c r="M646" s="63"/>
      <c r="N646" s="63"/>
      <c r="O646" s="63"/>
      <c r="P646" s="63"/>
      <c r="Q646" s="63">
        <f t="shared" si="33"/>
        <v>135.51</v>
      </c>
      <c r="R646" s="63">
        <f t="shared" si="34"/>
        <v>0</v>
      </c>
      <c r="S646" s="63">
        <f t="shared" si="35"/>
        <v>135.51</v>
      </c>
    </row>
    <row r="647" spans="1:19" x14ac:dyDescent="0.2">
      <c r="A647" s="68">
        <v>135162</v>
      </c>
      <c r="B647" s="68" t="s">
        <v>7034</v>
      </c>
      <c r="C647" s="76">
        <v>423</v>
      </c>
      <c r="D647" s="72" t="s">
        <v>6988</v>
      </c>
      <c r="E647" s="86" t="s">
        <v>19</v>
      </c>
      <c r="F647" s="74">
        <v>42711</v>
      </c>
      <c r="G647" s="83">
        <f>113.36+719.19+41.3+41.3+41.3</f>
        <v>956.44999999999993</v>
      </c>
      <c r="H647" s="96"/>
      <c r="K647" s="133"/>
      <c r="L647" s="63"/>
      <c r="M647" s="63"/>
      <c r="N647" s="63"/>
      <c r="O647" s="63"/>
      <c r="P647" s="63"/>
      <c r="Q647" s="63">
        <f t="shared" si="33"/>
        <v>956.44999999999993</v>
      </c>
      <c r="R647" s="63">
        <f t="shared" si="34"/>
        <v>0</v>
      </c>
      <c r="S647" s="63">
        <f t="shared" si="35"/>
        <v>956.44999999999993</v>
      </c>
    </row>
    <row r="648" spans="1:19" x14ac:dyDescent="0.2">
      <c r="A648" s="68">
        <v>142944</v>
      </c>
      <c r="B648" s="68" t="s">
        <v>7035</v>
      </c>
      <c r="C648" s="76">
        <v>424</v>
      </c>
      <c r="D648" s="72" t="s">
        <v>6989</v>
      </c>
      <c r="E648" s="86" t="s">
        <v>19</v>
      </c>
      <c r="F648" s="74">
        <v>42711</v>
      </c>
      <c r="G648" s="83">
        <f>323.91</f>
        <v>323.91000000000003</v>
      </c>
      <c r="H648" s="96"/>
      <c r="K648" s="133"/>
      <c r="L648" s="63"/>
      <c r="M648" s="63"/>
      <c r="N648" s="63"/>
      <c r="O648" s="63"/>
      <c r="P648" s="63"/>
      <c r="Q648" s="63">
        <f t="shared" si="33"/>
        <v>323.91000000000003</v>
      </c>
      <c r="R648" s="63">
        <f t="shared" si="34"/>
        <v>0</v>
      </c>
      <c r="S648" s="63">
        <f t="shared" si="35"/>
        <v>323.91000000000003</v>
      </c>
    </row>
    <row r="649" spans="1:19" x14ac:dyDescent="0.2">
      <c r="A649" s="68">
        <v>132167</v>
      </c>
      <c r="B649" s="68" t="s">
        <v>7036</v>
      </c>
      <c r="C649" s="76">
        <v>425</v>
      </c>
      <c r="D649" s="72" t="s">
        <v>6990</v>
      </c>
      <c r="E649" s="86" t="s">
        <v>19</v>
      </c>
      <c r="F649" s="74">
        <v>42713</v>
      </c>
      <c r="G649" s="83">
        <f>206.32</f>
        <v>206.32</v>
      </c>
      <c r="H649" s="96"/>
      <c r="K649" s="133"/>
      <c r="L649" s="63"/>
      <c r="M649" s="63"/>
      <c r="N649" s="63"/>
      <c r="O649" s="63"/>
      <c r="P649" s="63"/>
      <c r="Q649" s="63">
        <f t="shared" si="33"/>
        <v>206.32</v>
      </c>
      <c r="R649" s="63">
        <f t="shared" si="34"/>
        <v>0</v>
      </c>
      <c r="S649" s="63">
        <f t="shared" si="35"/>
        <v>206.32</v>
      </c>
    </row>
    <row r="650" spans="1:19" x14ac:dyDescent="0.2">
      <c r="A650" s="68">
        <v>145023</v>
      </c>
      <c r="B650" s="68" t="s">
        <v>7037</v>
      </c>
      <c r="C650" s="76">
        <v>426</v>
      </c>
      <c r="D650" s="72" t="s">
        <v>6991</v>
      </c>
      <c r="E650" s="86" t="s">
        <v>19</v>
      </c>
      <c r="F650" s="74">
        <v>42713</v>
      </c>
      <c r="G650" s="83">
        <f>203.55</f>
        <v>203.55</v>
      </c>
      <c r="H650" s="96"/>
      <c r="K650" s="133"/>
      <c r="L650" s="63"/>
      <c r="M650" s="63"/>
      <c r="N650" s="63"/>
      <c r="O650" s="63"/>
      <c r="P650" s="63"/>
      <c r="Q650" s="63">
        <f t="shared" si="33"/>
        <v>203.55</v>
      </c>
      <c r="R650" s="63">
        <f t="shared" si="34"/>
        <v>0</v>
      </c>
      <c r="S650" s="63">
        <f t="shared" si="35"/>
        <v>203.55</v>
      </c>
    </row>
    <row r="651" spans="1:19" x14ac:dyDescent="0.2">
      <c r="A651" s="68">
        <v>145023</v>
      </c>
      <c r="B651" s="68" t="s">
        <v>7037</v>
      </c>
      <c r="C651" s="76">
        <v>426</v>
      </c>
      <c r="D651" s="72" t="s">
        <v>6992</v>
      </c>
      <c r="E651" s="86" t="s">
        <v>19</v>
      </c>
      <c r="F651" s="74">
        <v>42713</v>
      </c>
      <c r="G651" s="83">
        <f>133.93</f>
        <v>133.93</v>
      </c>
      <c r="H651" s="96"/>
      <c r="K651" s="133"/>
      <c r="L651" s="63"/>
      <c r="M651" s="63"/>
      <c r="N651" s="63"/>
      <c r="O651" s="63"/>
      <c r="P651" s="63"/>
      <c r="Q651" s="63">
        <f t="shared" si="33"/>
        <v>133.93</v>
      </c>
      <c r="R651" s="63">
        <f t="shared" si="34"/>
        <v>0</v>
      </c>
      <c r="S651" s="63">
        <f t="shared" si="35"/>
        <v>133.93</v>
      </c>
    </row>
    <row r="652" spans="1:19" x14ac:dyDescent="0.2">
      <c r="A652" s="68">
        <v>145023</v>
      </c>
      <c r="B652" s="68" t="s">
        <v>7037</v>
      </c>
      <c r="C652" s="76">
        <v>426</v>
      </c>
      <c r="D652" s="72" t="s">
        <v>6993</v>
      </c>
      <c r="E652" s="86" t="s">
        <v>19</v>
      </c>
      <c r="F652" s="74">
        <v>42713</v>
      </c>
      <c r="G652" s="83">
        <f>558+241.8+1092.33+1628.64</f>
        <v>3520.77</v>
      </c>
      <c r="H652" s="96"/>
      <c r="I652" s="63">
        <v>368.33</v>
      </c>
      <c r="K652" s="133"/>
      <c r="L652" s="63"/>
      <c r="M652" s="63"/>
      <c r="N652" s="63"/>
      <c r="O652" s="63"/>
      <c r="P652" s="63"/>
      <c r="Q652" s="63">
        <f t="shared" si="33"/>
        <v>3889.1</v>
      </c>
      <c r="R652" s="63">
        <f t="shared" si="34"/>
        <v>0</v>
      </c>
      <c r="S652" s="63">
        <f t="shared" si="35"/>
        <v>3889.1</v>
      </c>
    </row>
    <row r="653" spans="1:19" x14ac:dyDescent="0.2">
      <c r="A653" s="68">
        <v>141522</v>
      </c>
      <c r="B653" s="68" t="s">
        <v>7038</v>
      </c>
      <c r="C653" s="76">
        <v>427</v>
      </c>
      <c r="D653" s="72" t="s">
        <v>6994</v>
      </c>
      <c r="E653" s="86" t="s">
        <v>19</v>
      </c>
      <c r="F653" s="74">
        <v>42714</v>
      </c>
      <c r="G653" s="83">
        <f>264.69+91.7</f>
        <v>356.39</v>
      </c>
      <c r="H653" s="96"/>
      <c r="K653" s="133"/>
      <c r="L653" s="63"/>
      <c r="M653" s="63"/>
      <c r="N653" s="63"/>
      <c r="O653" s="63"/>
      <c r="P653" s="63"/>
      <c r="Q653" s="63">
        <f t="shared" si="33"/>
        <v>356.39</v>
      </c>
      <c r="R653" s="63">
        <f t="shared" si="34"/>
        <v>0</v>
      </c>
      <c r="S653" s="63">
        <f t="shared" si="35"/>
        <v>356.39</v>
      </c>
    </row>
    <row r="654" spans="1:19" x14ac:dyDescent="0.2">
      <c r="A654" s="68">
        <v>132061</v>
      </c>
      <c r="B654" s="68" t="s">
        <v>7039</v>
      </c>
      <c r="C654" s="76">
        <v>428</v>
      </c>
      <c r="D654" s="72" t="s">
        <v>6995</v>
      </c>
      <c r="E654" s="86" t="s">
        <v>19</v>
      </c>
      <c r="F654" s="74">
        <v>42716</v>
      </c>
      <c r="G654" s="83">
        <f>129</f>
        <v>129</v>
      </c>
      <c r="H654" s="96"/>
      <c r="K654" s="133"/>
      <c r="L654" s="63"/>
      <c r="M654" s="63"/>
      <c r="N654" s="63"/>
      <c r="O654" s="63"/>
      <c r="P654" s="63"/>
      <c r="Q654" s="63">
        <f t="shared" si="33"/>
        <v>129</v>
      </c>
      <c r="R654" s="63">
        <f t="shared" si="34"/>
        <v>0</v>
      </c>
      <c r="S654" s="63">
        <f t="shared" si="35"/>
        <v>129</v>
      </c>
    </row>
    <row r="655" spans="1:19" x14ac:dyDescent="0.2">
      <c r="A655" s="68">
        <v>132061</v>
      </c>
      <c r="B655" s="68" t="s">
        <v>7039</v>
      </c>
      <c r="C655" s="76">
        <v>428</v>
      </c>
      <c r="D655" s="72" t="s">
        <v>6996</v>
      </c>
      <c r="E655" s="86" t="s">
        <v>19</v>
      </c>
      <c r="F655" s="74">
        <v>42716</v>
      </c>
      <c r="G655" s="83">
        <f>114</f>
        <v>114</v>
      </c>
      <c r="H655" s="96"/>
      <c r="K655" s="133"/>
      <c r="L655" s="63"/>
      <c r="M655" s="63"/>
      <c r="N655" s="63"/>
      <c r="O655" s="63"/>
      <c r="P655" s="63"/>
      <c r="Q655" s="63">
        <f t="shared" si="33"/>
        <v>114</v>
      </c>
      <c r="R655" s="63">
        <f t="shared" si="34"/>
        <v>0</v>
      </c>
      <c r="S655" s="63">
        <f t="shared" si="35"/>
        <v>114</v>
      </c>
    </row>
    <row r="656" spans="1:19" x14ac:dyDescent="0.2">
      <c r="A656" s="68">
        <v>132061</v>
      </c>
      <c r="B656" s="68" t="s">
        <v>7039</v>
      </c>
      <c r="C656" s="76">
        <v>428</v>
      </c>
      <c r="D656" s="72" t="s">
        <v>6997</v>
      </c>
      <c r="E656" s="86" t="s">
        <v>19</v>
      </c>
      <c r="F656" s="74">
        <v>42716</v>
      </c>
      <c r="G656" s="83">
        <f>258.7</f>
        <v>258.7</v>
      </c>
      <c r="H656" s="96"/>
      <c r="K656" s="133"/>
      <c r="L656" s="63"/>
      <c r="M656" s="63"/>
      <c r="N656" s="63"/>
      <c r="O656" s="63"/>
      <c r="P656" s="63"/>
      <c r="Q656" s="63">
        <f t="shared" si="33"/>
        <v>258.7</v>
      </c>
      <c r="R656" s="63">
        <f t="shared" si="34"/>
        <v>0</v>
      </c>
      <c r="S656" s="63">
        <f t="shared" si="35"/>
        <v>258.7</v>
      </c>
    </row>
    <row r="657" spans="1:19" x14ac:dyDescent="0.2">
      <c r="A657" s="68">
        <v>135344</v>
      </c>
      <c r="B657" s="68" t="s">
        <v>7040</v>
      </c>
      <c r="C657" s="76">
        <v>429</v>
      </c>
      <c r="D657" s="72" t="s">
        <v>6998</v>
      </c>
      <c r="E657" s="86" t="s">
        <v>19</v>
      </c>
      <c r="F657" s="74">
        <v>42717</v>
      </c>
      <c r="G657" s="83">
        <f>80.53+1692.06+460.53</f>
        <v>2233.12</v>
      </c>
      <c r="H657" s="96"/>
      <c r="K657" s="133"/>
      <c r="L657" s="63"/>
      <c r="M657" s="63"/>
      <c r="N657" s="63"/>
      <c r="O657" s="63"/>
      <c r="P657" s="63"/>
      <c r="Q657" s="63">
        <f t="shared" si="33"/>
        <v>2233.12</v>
      </c>
      <c r="R657" s="63">
        <f t="shared" si="34"/>
        <v>0</v>
      </c>
      <c r="S657" s="63">
        <f t="shared" si="35"/>
        <v>2233.12</v>
      </c>
    </row>
    <row r="658" spans="1:19" x14ac:dyDescent="0.2">
      <c r="A658" s="68">
        <v>143932</v>
      </c>
      <c r="B658" s="68" t="s">
        <v>7041</v>
      </c>
      <c r="C658" s="76">
        <v>430</v>
      </c>
      <c r="D658" s="72" t="s">
        <v>6999</v>
      </c>
      <c r="E658" s="86" t="s">
        <v>19</v>
      </c>
      <c r="F658" s="74">
        <v>42718</v>
      </c>
      <c r="G658" s="83">
        <f>238+1175.75</f>
        <v>1413.75</v>
      </c>
      <c r="H658" s="96"/>
      <c r="K658" s="133"/>
      <c r="L658" s="63"/>
      <c r="M658" s="63"/>
      <c r="N658" s="63"/>
      <c r="O658" s="63"/>
      <c r="P658" s="63"/>
      <c r="Q658" s="63">
        <f t="shared" si="33"/>
        <v>1413.75</v>
      </c>
      <c r="R658" s="63">
        <f t="shared" si="34"/>
        <v>0</v>
      </c>
      <c r="S658" s="63">
        <f t="shared" si="35"/>
        <v>1413.75</v>
      </c>
    </row>
    <row r="659" spans="1:19" x14ac:dyDescent="0.2">
      <c r="A659" s="68">
        <v>145552</v>
      </c>
      <c r="B659" s="68" t="s">
        <v>7042</v>
      </c>
      <c r="C659" s="76">
        <v>431</v>
      </c>
      <c r="D659" s="72" t="s">
        <v>7000</v>
      </c>
      <c r="E659" s="86" t="s">
        <v>19</v>
      </c>
      <c r="F659" s="74">
        <v>42719</v>
      </c>
      <c r="G659" s="83">
        <f>123.07</f>
        <v>123.07</v>
      </c>
      <c r="H659" s="96"/>
      <c r="K659" s="133"/>
      <c r="L659" s="63"/>
      <c r="M659" s="63"/>
      <c r="N659" s="63"/>
      <c r="O659" s="63"/>
      <c r="P659" s="63"/>
      <c r="Q659" s="63">
        <f t="shared" si="33"/>
        <v>123.07</v>
      </c>
      <c r="R659" s="63">
        <f t="shared" si="34"/>
        <v>0</v>
      </c>
      <c r="S659" s="63">
        <f t="shared" si="35"/>
        <v>123.07</v>
      </c>
    </row>
    <row r="660" spans="1:19" x14ac:dyDescent="0.2">
      <c r="A660" s="68">
        <v>146399</v>
      </c>
      <c r="B660" s="68" t="s">
        <v>480</v>
      </c>
      <c r="C660" s="76">
        <v>432</v>
      </c>
      <c r="D660" s="72" t="s">
        <v>7001</v>
      </c>
      <c r="E660" s="86" t="s">
        <v>19</v>
      </c>
      <c r="F660" s="74">
        <v>42722</v>
      </c>
      <c r="G660" s="83">
        <f>106.99+67.67</f>
        <v>174.66</v>
      </c>
      <c r="H660" s="96"/>
      <c r="K660" s="133"/>
      <c r="L660" s="63"/>
      <c r="M660" s="63"/>
      <c r="N660" s="63"/>
      <c r="O660" s="63"/>
      <c r="P660" s="63"/>
      <c r="Q660" s="63">
        <f t="shared" si="33"/>
        <v>174.66</v>
      </c>
      <c r="R660" s="63">
        <f t="shared" si="34"/>
        <v>0</v>
      </c>
      <c r="S660" s="63">
        <f t="shared" si="35"/>
        <v>174.66</v>
      </c>
    </row>
    <row r="661" spans="1:19" x14ac:dyDescent="0.2">
      <c r="A661" s="68">
        <v>146399</v>
      </c>
      <c r="B661" s="68" t="s">
        <v>480</v>
      </c>
      <c r="C661" s="76">
        <v>432</v>
      </c>
      <c r="D661" s="72" t="s">
        <v>7002</v>
      </c>
      <c r="E661" s="86" t="s">
        <v>19</v>
      </c>
      <c r="F661" s="74">
        <v>42722</v>
      </c>
      <c r="G661" s="83">
        <f>772.14+108.78</f>
        <v>880.92</v>
      </c>
      <c r="H661" s="96"/>
      <c r="I661" s="63">
        <f>425</f>
        <v>425</v>
      </c>
      <c r="K661" s="133"/>
      <c r="L661" s="63"/>
      <c r="M661" s="63"/>
      <c r="N661" s="63"/>
      <c r="O661" s="63"/>
      <c r="P661" s="63"/>
      <c r="Q661" s="63">
        <f t="shared" si="33"/>
        <v>1305.92</v>
      </c>
      <c r="R661" s="63">
        <f t="shared" si="34"/>
        <v>0</v>
      </c>
      <c r="S661" s="63">
        <f t="shared" si="35"/>
        <v>1305.92</v>
      </c>
    </row>
    <row r="662" spans="1:19" x14ac:dyDescent="0.2">
      <c r="A662" s="68">
        <v>143097</v>
      </c>
      <c r="B662" s="68" t="s">
        <v>7043</v>
      </c>
      <c r="C662" s="76">
        <v>433</v>
      </c>
      <c r="D662" s="72" t="s">
        <v>7003</v>
      </c>
      <c r="E662" s="86" t="s">
        <v>19</v>
      </c>
      <c r="F662" s="74">
        <v>42723</v>
      </c>
      <c r="G662" s="83">
        <f>72.24</f>
        <v>72.239999999999995</v>
      </c>
      <c r="H662" s="96"/>
      <c r="K662" s="133"/>
      <c r="L662" s="63"/>
      <c r="M662" s="63"/>
      <c r="N662" s="63"/>
      <c r="O662" s="63"/>
      <c r="P662" s="63"/>
      <c r="Q662" s="63">
        <f t="shared" si="33"/>
        <v>72.239999999999995</v>
      </c>
      <c r="R662" s="63">
        <f t="shared" si="34"/>
        <v>0</v>
      </c>
      <c r="S662" s="63">
        <f t="shared" si="35"/>
        <v>72.239999999999995</v>
      </c>
    </row>
    <row r="663" spans="1:19" x14ac:dyDescent="0.2">
      <c r="A663" s="68">
        <v>142664</v>
      </c>
      <c r="B663" s="68" t="s">
        <v>7044</v>
      </c>
      <c r="C663" s="76">
        <v>434</v>
      </c>
      <c r="D663" s="72" t="s">
        <v>7004</v>
      </c>
      <c r="E663" s="86" t="s">
        <v>19</v>
      </c>
      <c r="F663" s="74">
        <v>42723</v>
      </c>
      <c r="G663" s="83">
        <f>155.71</f>
        <v>155.71</v>
      </c>
      <c r="H663" s="96"/>
      <c r="K663" s="133"/>
      <c r="L663" s="63"/>
      <c r="M663" s="63"/>
      <c r="N663" s="63"/>
      <c r="O663" s="63"/>
      <c r="P663" s="63"/>
      <c r="Q663" s="63">
        <f t="shared" si="33"/>
        <v>155.71</v>
      </c>
      <c r="R663" s="63">
        <f t="shared" si="34"/>
        <v>0</v>
      </c>
      <c r="S663" s="63">
        <f t="shared" si="35"/>
        <v>155.71</v>
      </c>
    </row>
    <row r="664" spans="1:19" x14ac:dyDescent="0.2">
      <c r="A664" s="68">
        <v>147297</v>
      </c>
      <c r="B664" s="68" t="s">
        <v>7045</v>
      </c>
      <c r="C664" s="76">
        <v>435</v>
      </c>
      <c r="D664" s="72" t="s">
        <v>7005</v>
      </c>
      <c r="E664" s="86" t="s">
        <v>19</v>
      </c>
      <c r="F664" s="74">
        <v>42724</v>
      </c>
      <c r="G664" s="83">
        <f>171.69</f>
        <v>171.69</v>
      </c>
      <c r="H664" s="96"/>
      <c r="K664" s="133"/>
      <c r="L664" s="63"/>
      <c r="M664" s="63"/>
      <c r="N664" s="63"/>
      <c r="O664" s="63"/>
      <c r="P664" s="63"/>
      <c r="Q664" s="63">
        <f t="shared" si="33"/>
        <v>171.69</v>
      </c>
      <c r="R664" s="63">
        <f t="shared" si="34"/>
        <v>0</v>
      </c>
      <c r="S664" s="63">
        <f t="shared" si="35"/>
        <v>171.69</v>
      </c>
    </row>
    <row r="665" spans="1:19" x14ac:dyDescent="0.2">
      <c r="A665" s="68">
        <v>143991</v>
      </c>
      <c r="B665" s="68" t="s">
        <v>7046</v>
      </c>
      <c r="C665" s="76">
        <v>436</v>
      </c>
      <c r="D665" s="72" t="s">
        <v>7006</v>
      </c>
      <c r="E665" s="86" t="s">
        <v>19</v>
      </c>
      <c r="F665" s="74">
        <v>42725</v>
      </c>
      <c r="G665" s="83">
        <f>50.1+35</f>
        <v>85.1</v>
      </c>
      <c r="H665" s="96"/>
      <c r="K665" s="133"/>
      <c r="L665" s="63"/>
      <c r="M665" s="63"/>
      <c r="N665" s="63"/>
      <c r="O665" s="63"/>
      <c r="P665" s="63"/>
      <c r="Q665" s="63">
        <f t="shared" si="33"/>
        <v>85.1</v>
      </c>
      <c r="R665" s="63">
        <f t="shared" si="34"/>
        <v>0</v>
      </c>
      <c r="S665" s="63">
        <f t="shared" si="35"/>
        <v>85.1</v>
      </c>
    </row>
    <row r="666" spans="1:19" x14ac:dyDescent="0.2">
      <c r="A666" s="68">
        <v>143991</v>
      </c>
      <c r="B666" s="68" t="s">
        <v>7046</v>
      </c>
      <c r="C666" s="76">
        <v>436</v>
      </c>
      <c r="D666" s="72" t="s">
        <v>7007</v>
      </c>
      <c r="E666" s="86" t="s">
        <v>19</v>
      </c>
      <c r="F666" s="74">
        <v>42725</v>
      </c>
      <c r="G666" s="83">
        <f>9000+370+4656.05</f>
        <v>14026.05</v>
      </c>
      <c r="H666" s="96"/>
      <c r="K666" s="133"/>
      <c r="L666" s="63"/>
      <c r="M666" s="63"/>
      <c r="N666" s="63"/>
      <c r="O666" s="63"/>
      <c r="P666" s="63"/>
      <c r="Q666" s="63">
        <f t="shared" si="33"/>
        <v>14026.05</v>
      </c>
      <c r="R666" s="63">
        <f t="shared" si="34"/>
        <v>0</v>
      </c>
      <c r="S666" s="63">
        <f t="shared" si="35"/>
        <v>14026.05</v>
      </c>
    </row>
    <row r="667" spans="1:19" x14ac:dyDescent="0.2">
      <c r="A667" s="68">
        <v>143991</v>
      </c>
      <c r="B667" s="68" t="s">
        <v>7046</v>
      </c>
      <c r="C667" s="76">
        <v>436</v>
      </c>
      <c r="D667" s="72" t="s">
        <v>7008</v>
      </c>
      <c r="E667" s="86" t="s">
        <v>19</v>
      </c>
      <c r="F667" s="74">
        <v>42725</v>
      </c>
      <c r="G667" s="83">
        <f>300+437.9+117</f>
        <v>854.9</v>
      </c>
      <c r="H667" s="96"/>
      <c r="K667" s="133"/>
      <c r="L667" s="63"/>
      <c r="M667" s="63"/>
      <c r="N667" s="63"/>
      <c r="O667" s="63"/>
      <c r="P667" s="63"/>
      <c r="Q667" s="63">
        <f t="shared" si="33"/>
        <v>854.9</v>
      </c>
      <c r="R667" s="63">
        <f t="shared" si="34"/>
        <v>0</v>
      </c>
      <c r="S667" s="63">
        <f t="shared" si="35"/>
        <v>854.9</v>
      </c>
    </row>
    <row r="668" spans="1:19" x14ac:dyDescent="0.2">
      <c r="A668" s="68">
        <v>133596</v>
      </c>
      <c r="B668" s="68" t="s">
        <v>6572</v>
      </c>
      <c r="C668" s="76">
        <v>437</v>
      </c>
      <c r="D668" s="72" t="s">
        <v>7009</v>
      </c>
      <c r="E668" s="86" t="s">
        <v>19</v>
      </c>
      <c r="F668" s="74">
        <v>42725</v>
      </c>
      <c r="G668" s="83">
        <f>560+3107.64</f>
        <v>3667.64</v>
      </c>
      <c r="H668" s="96"/>
      <c r="K668" s="133"/>
      <c r="L668" s="63"/>
      <c r="M668" s="63"/>
      <c r="N668" s="63"/>
      <c r="O668" s="63"/>
      <c r="P668" s="63"/>
      <c r="Q668" s="63">
        <f t="shared" si="33"/>
        <v>3667.64</v>
      </c>
      <c r="R668" s="63">
        <f t="shared" si="34"/>
        <v>0</v>
      </c>
      <c r="S668" s="63">
        <f t="shared" si="35"/>
        <v>3667.64</v>
      </c>
    </row>
    <row r="669" spans="1:19" x14ac:dyDescent="0.2">
      <c r="A669" s="68">
        <v>137129</v>
      </c>
      <c r="B669" s="68" t="s">
        <v>7047</v>
      </c>
      <c r="C669" s="76">
        <v>438</v>
      </c>
      <c r="D669" s="72" t="s">
        <v>7010</v>
      </c>
      <c r="E669" s="86" t="s">
        <v>19</v>
      </c>
      <c r="F669" s="74">
        <v>42725</v>
      </c>
      <c r="G669" s="83"/>
      <c r="H669" s="96"/>
      <c r="K669" s="133"/>
      <c r="L669" s="63"/>
      <c r="M669" s="63"/>
      <c r="N669" s="63"/>
      <c r="O669" s="63"/>
      <c r="P669" s="63"/>
      <c r="Q669" s="63">
        <f t="shared" si="33"/>
        <v>0</v>
      </c>
      <c r="R669" s="63">
        <f t="shared" si="34"/>
        <v>0</v>
      </c>
      <c r="S669" s="63">
        <f t="shared" si="35"/>
        <v>0</v>
      </c>
    </row>
    <row r="670" spans="1:19" x14ac:dyDescent="0.2">
      <c r="A670" s="68">
        <v>140432</v>
      </c>
      <c r="B670" s="68" t="s">
        <v>7048</v>
      </c>
      <c r="C670" s="76">
        <v>439</v>
      </c>
      <c r="D670" s="72" t="s">
        <v>7011</v>
      </c>
      <c r="E670" s="86" t="s">
        <v>19</v>
      </c>
      <c r="F670" s="74">
        <v>42725</v>
      </c>
      <c r="G670" s="83">
        <f>143.43</f>
        <v>143.43</v>
      </c>
      <c r="H670" s="96"/>
      <c r="K670" s="133"/>
      <c r="L670" s="63"/>
      <c r="M670" s="63"/>
      <c r="N670" s="63"/>
      <c r="O670" s="63"/>
      <c r="P670" s="63"/>
      <c r="Q670" s="63">
        <f t="shared" si="33"/>
        <v>143.43</v>
      </c>
      <c r="R670" s="63">
        <f t="shared" si="34"/>
        <v>0</v>
      </c>
      <c r="S670" s="63">
        <f t="shared" si="35"/>
        <v>143.43</v>
      </c>
    </row>
    <row r="671" spans="1:19" x14ac:dyDescent="0.2">
      <c r="A671" s="68">
        <v>136358</v>
      </c>
      <c r="B671" s="68" t="s">
        <v>7049</v>
      </c>
      <c r="C671" s="76">
        <v>440</v>
      </c>
      <c r="D671" s="72" t="s">
        <v>7012</v>
      </c>
      <c r="E671" s="86" t="s">
        <v>19</v>
      </c>
      <c r="F671" s="74">
        <v>42726</v>
      </c>
      <c r="G671" s="83">
        <f>300+372.51</f>
        <v>672.51</v>
      </c>
      <c r="H671" s="96"/>
      <c r="K671" s="133"/>
      <c r="L671" s="63"/>
      <c r="M671" s="63"/>
      <c r="N671" s="63"/>
      <c r="O671" s="63"/>
      <c r="P671" s="63"/>
      <c r="Q671" s="63">
        <f t="shared" ref="Q671:Q689" si="36">+G671+I671+K671+M671+O671</f>
        <v>672.51</v>
      </c>
      <c r="R671" s="63">
        <f t="shared" ref="R671:R689" si="37">+H671+J671+L671+N671+P671</f>
        <v>0</v>
      </c>
      <c r="S671" s="63">
        <f t="shared" ref="S671:S689" si="38">+Q671+R671</f>
        <v>672.51</v>
      </c>
    </row>
    <row r="672" spans="1:19" x14ac:dyDescent="0.2">
      <c r="A672" s="68">
        <v>141316</v>
      </c>
      <c r="B672" s="68" t="s">
        <v>7050</v>
      </c>
      <c r="C672" s="76">
        <v>441</v>
      </c>
      <c r="D672" s="72" t="s">
        <v>7013</v>
      </c>
      <c r="E672" s="86" t="s">
        <v>4064</v>
      </c>
      <c r="F672" s="74">
        <v>42726</v>
      </c>
      <c r="G672" s="83">
        <f>234</f>
        <v>234</v>
      </c>
      <c r="H672" s="96"/>
      <c r="K672" s="133"/>
      <c r="L672" s="63"/>
      <c r="M672" s="63"/>
      <c r="N672" s="63"/>
      <c r="O672" s="63"/>
      <c r="P672" s="63"/>
      <c r="Q672" s="63">
        <f t="shared" si="36"/>
        <v>234</v>
      </c>
      <c r="R672" s="63">
        <f t="shared" si="37"/>
        <v>0</v>
      </c>
      <c r="S672" s="63">
        <f t="shared" si="38"/>
        <v>234</v>
      </c>
    </row>
    <row r="673" spans="1:19" x14ac:dyDescent="0.2">
      <c r="A673" s="68">
        <v>145087</v>
      </c>
      <c r="B673" s="68" t="s">
        <v>4670</v>
      </c>
      <c r="C673" s="76">
        <v>442</v>
      </c>
      <c r="D673" s="72" t="s">
        <v>7014</v>
      </c>
      <c r="E673" s="86" t="s">
        <v>19</v>
      </c>
      <c r="F673" s="74">
        <v>42726</v>
      </c>
      <c r="G673" s="83">
        <f>152.46</f>
        <v>152.46</v>
      </c>
      <c r="H673" s="96"/>
      <c r="K673" s="133"/>
      <c r="L673" s="63"/>
      <c r="M673" s="63"/>
      <c r="N673" s="63"/>
      <c r="O673" s="63"/>
      <c r="P673" s="63"/>
      <c r="Q673" s="63">
        <f t="shared" si="36"/>
        <v>152.46</v>
      </c>
      <c r="R673" s="63">
        <f t="shared" si="37"/>
        <v>0</v>
      </c>
      <c r="S673" s="63">
        <f t="shared" si="38"/>
        <v>152.46</v>
      </c>
    </row>
    <row r="674" spans="1:19" x14ac:dyDescent="0.2">
      <c r="A674" s="68">
        <v>134524</v>
      </c>
      <c r="B674" s="68" t="s">
        <v>7051</v>
      </c>
      <c r="C674" s="76">
        <v>443</v>
      </c>
      <c r="D674" s="72" t="s">
        <v>7015</v>
      </c>
      <c r="E674" s="86" t="s">
        <v>19</v>
      </c>
      <c r="F674" s="74">
        <v>42727</v>
      </c>
      <c r="G674" s="83">
        <f>237.83+290.32+4302.13+41.3+103.38+300+48.79+424.5</f>
        <v>5748.25</v>
      </c>
      <c r="H674" s="96"/>
      <c r="I674" s="63">
        <f>1416.67</f>
        <v>1416.67</v>
      </c>
      <c r="K674" s="133"/>
      <c r="L674" s="63"/>
      <c r="M674" s="63"/>
      <c r="N674" s="63"/>
      <c r="O674" s="63"/>
      <c r="P674" s="63"/>
      <c r="Q674" s="63">
        <f t="shared" si="36"/>
        <v>7164.92</v>
      </c>
      <c r="R674" s="63">
        <f t="shared" si="37"/>
        <v>0</v>
      </c>
      <c r="S674" s="63">
        <f t="shared" si="38"/>
        <v>7164.92</v>
      </c>
    </row>
    <row r="675" spans="1:19" x14ac:dyDescent="0.2">
      <c r="A675" s="68">
        <v>134524</v>
      </c>
      <c r="B675" s="68" t="s">
        <v>7051</v>
      </c>
      <c r="C675" s="76">
        <v>443</v>
      </c>
      <c r="D675" s="72" t="s">
        <v>7016</v>
      </c>
      <c r="E675" s="86" t="s">
        <v>19</v>
      </c>
      <c r="F675" s="74">
        <v>42727</v>
      </c>
      <c r="G675" s="83">
        <f>139.97+348</f>
        <v>487.97</v>
      </c>
      <c r="H675" s="96"/>
      <c r="K675" s="133"/>
      <c r="L675" s="63"/>
      <c r="M675" s="63"/>
      <c r="N675" s="63"/>
      <c r="O675" s="63"/>
      <c r="P675" s="63"/>
      <c r="Q675" s="63">
        <f t="shared" si="36"/>
        <v>487.97</v>
      </c>
      <c r="R675" s="63">
        <f t="shared" si="37"/>
        <v>0</v>
      </c>
      <c r="S675" s="63">
        <f t="shared" si="38"/>
        <v>487.97</v>
      </c>
    </row>
    <row r="676" spans="1:19" x14ac:dyDescent="0.2">
      <c r="A676" s="68">
        <v>134524</v>
      </c>
      <c r="B676" s="68" t="s">
        <v>7051</v>
      </c>
      <c r="C676" s="76">
        <v>443</v>
      </c>
      <c r="D676" s="72" t="s">
        <v>7017</v>
      </c>
      <c r="E676" s="86" t="s">
        <v>19</v>
      </c>
      <c r="F676" s="74">
        <v>42727</v>
      </c>
      <c r="G676" s="83">
        <f>128.37+165</f>
        <v>293.37</v>
      </c>
      <c r="H676" s="96"/>
      <c r="K676" s="133"/>
      <c r="L676" s="63"/>
      <c r="M676" s="63"/>
      <c r="N676" s="63"/>
      <c r="O676" s="63"/>
      <c r="P676" s="63"/>
      <c r="Q676" s="63">
        <f t="shared" si="36"/>
        <v>293.37</v>
      </c>
      <c r="R676" s="63">
        <f t="shared" si="37"/>
        <v>0</v>
      </c>
      <c r="S676" s="63">
        <f t="shared" si="38"/>
        <v>293.37</v>
      </c>
    </row>
    <row r="677" spans="1:19" x14ac:dyDescent="0.2">
      <c r="A677" s="68">
        <v>134524</v>
      </c>
      <c r="B677" s="68" t="s">
        <v>7051</v>
      </c>
      <c r="C677" s="76">
        <v>443</v>
      </c>
      <c r="D677" s="72" t="s">
        <v>7018</v>
      </c>
      <c r="E677" s="86" t="s">
        <v>19</v>
      </c>
      <c r="F677" s="74">
        <v>42727</v>
      </c>
      <c r="G677" s="83">
        <f>41.3+318.84+41.3+125.7</f>
        <v>527.14</v>
      </c>
      <c r="H677" s="96"/>
      <c r="I677" s="63">
        <f>425+141.67</f>
        <v>566.66999999999996</v>
      </c>
      <c r="K677" s="133"/>
      <c r="L677" s="63"/>
      <c r="M677" s="63"/>
      <c r="N677" s="63"/>
      <c r="O677" s="63"/>
      <c r="P677" s="63"/>
      <c r="Q677" s="63">
        <f t="shared" si="36"/>
        <v>1093.81</v>
      </c>
      <c r="R677" s="63">
        <f t="shared" si="37"/>
        <v>0</v>
      </c>
      <c r="S677" s="63">
        <f t="shared" si="38"/>
        <v>1093.81</v>
      </c>
    </row>
    <row r="678" spans="1:19" x14ac:dyDescent="0.2">
      <c r="A678" s="68">
        <v>134524</v>
      </c>
      <c r="B678" s="68" t="s">
        <v>7051</v>
      </c>
      <c r="C678" s="76">
        <v>443</v>
      </c>
      <c r="D678" s="72" t="s">
        <v>7019</v>
      </c>
      <c r="E678" s="86" t="s">
        <v>19</v>
      </c>
      <c r="F678" s="74">
        <v>42727</v>
      </c>
      <c r="G678" s="83">
        <f>41.3+422.42+41.3+47.24+113.6+195.3+75.43</f>
        <v>936.59000000000015</v>
      </c>
      <c r="H678" s="96"/>
      <c r="I678" s="63">
        <f>425</f>
        <v>425</v>
      </c>
      <c r="K678" s="133"/>
      <c r="L678" s="63"/>
      <c r="M678" s="63"/>
      <c r="N678" s="63"/>
      <c r="O678" s="63"/>
      <c r="P678" s="63"/>
      <c r="Q678" s="63">
        <f t="shared" si="36"/>
        <v>1361.5900000000001</v>
      </c>
      <c r="R678" s="63">
        <f t="shared" si="37"/>
        <v>0</v>
      </c>
      <c r="S678" s="63">
        <f t="shared" si="38"/>
        <v>1361.5900000000001</v>
      </c>
    </row>
    <row r="679" spans="1:19" x14ac:dyDescent="0.2">
      <c r="A679" s="68">
        <v>134524</v>
      </c>
      <c r="B679" s="68" t="s">
        <v>7051</v>
      </c>
      <c r="C679" s="76">
        <v>443</v>
      </c>
      <c r="D679" s="72" t="s">
        <v>7020</v>
      </c>
      <c r="E679" s="86" t="s">
        <v>19</v>
      </c>
      <c r="F679" s="74">
        <v>42727</v>
      </c>
      <c r="G679" s="83">
        <f>302.95+75.43+558+156.5+55.09+41.3+360.61+481.3+41.3+261.3+301.7+41.3+41.3+457.9+457.9</f>
        <v>3633.8800000000006</v>
      </c>
      <c r="H679" s="96"/>
      <c r="I679" s="63">
        <f>850+850+850+850+550</f>
        <v>3950</v>
      </c>
      <c r="K679" s="133"/>
      <c r="L679" s="63"/>
      <c r="M679" s="63"/>
      <c r="N679" s="63"/>
      <c r="O679" s="63"/>
      <c r="P679" s="63"/>
      <c r="Q679" s="63">
        <f t="shared" si="36"/>
        <v>7583.880000000001</v>
      </c>
      <c r="R679" s="63">
        <f t="shared" si="37"/>
        <v>0</v>
      </c>
      <c r="S679" s="63">
        <f t="shared" si="38"/>
        <v>7583.880000000001</v>
      </c>
    </row>
    <row r="680" spans="1:19" x14ac:dyDescent="0.2">
      <c r="A680" s="68">
        <v>133568</v>
      </c>
      <c r="B680" s="68" t="s">
        <v>7052</v>
      </c>
      <c r="C680" s="76">
        <v>444</v>
      </c>
      <c r="D680" s="72" t="s">
        <v>7021</v>
      </c>
      <c r="E680" s="86" t="s">
        <v>19</v>
      </c>
      <c r="F680" s="74">
        <v>42727</v>
      </c>
      <c r="G680" s="83">
        <f>40</f>
        <v>40</v>
      </c>
      <c r="H680" s="96"/>
      <c r="K680" s="133"/>
      <c r="L680" s="63"/>
      <c r="M680" s="63"/>
      <c r="N680" s="63"/>
      <c r="O680" s="63"/>
      <c r="P680" s="63"/>
      <c r="Q680" s="63">
        <f t="shared" si="36"/>
        <v>40</v>
      </c>
      <c r="R680" s="63">
        <f t="shared" si="37"/>
        <v>0</v>
      </c>
      <c r="S680" s="63">
        <f t="shared" si="38"/>
        <v>40</v>
      </c>
    </row>
    <row r="681" spans="1:19" x14ac:dyDescent="0.2">
      <c r="A681" s="68">
        <v>133568</v>
      </c>
      <c r="B681" s="68" t="s">
        <v>7052</v>
      </c>
      <c r="C681" s="76">
        <v>444</v>
      </c>
      <c r="D681" s="72" t="s">
        <v>7022</v>
      </c>
      <c r="E681" s="86" t="s">
        <v>19</v>
      </c>
      <c r="F681" s="74">
        <v>42727</v>
      </c>
      <c r="G681" s="83">
        <f>234.69+106.99+41.3+887.56+243.14+162.33+481.3</f>
        <v>2157.31</v>
      </c>
      <c r="H681" s="96"/>
      <c r="I681" s="63">
        <f>850+850+821.67</f>
        <v>2521.67</v>
      </c>
      <c r="K681" s="133"/>
      <c r="L681" s="63"/>
      <c r="M681" s="63"/>
      <c r="N681" s="63"/>
      <c r="O681" s="63"/>
      <c r="P681" s="63"/>
      <c r="Q681" s="63">
        <f t="shared" si="36"/>
        <v>4678.9799999999996</v>
      </c>
      <c r="R681" s="63">
        <f t="shared" si="37"/>
        <v>0</v>
      </c>
      <c r="S681" s="63">
        <f t="shared" si="38"/>
        <v>4678.9799999999996</v>
      </c>
    </row>
    <row r="682" spans="1:19" x14ac:dyDescent="0.2">
      <c r="A682" s="68">
        <v>140445</v>
      </c>
      <c r="B682" s="89" t="s">
        <v>7053</v>
      </c>
      <c r="C682" s="76">
        <v>445</v>
      </c>
      <c r="D682" s="72" t="s">
        <v>7023</v>
      </c>
      <c r="E682" s="86" t="s">
        <v>19</v>
      </c>
      <c r="F682" s="74">
        <v>42731</v>
      </c>
      <c r="G682" s="83">
        <f>589.18</f>
        <v>589.17999999999995</v>
      </c>
      <c r="H682" s="96"/>
      <c r="K682" s="133"/>
      <c r="L682" s="63"/>
      <c r="M682" s="63"/>
      <c r="N682" s="63"/>
      <c r="O682" s="63"/>
      <c r="P682" s="63"/>
      <c r="Q682" s="63">
        <f t="shared" si="36"/>
        <v>589.17999999999995</v>
      </c>
      <c r="R682" s="63">
        <f t="shared" si="37"/>
        <v>0</v>
      </c>
      <c r="S682" s="63">
        <f t="shared" si="38"/>
        <v>589.17999999999995</v>
      </c>
    </row>
    <row r="683" spans="1:19" x14ac:dyDescent="0.2">
      <c r="A683" s="68">
        <v>145279</v>
      </c>
      <c r="B683" s="68" t="s">
        <v>7054</v>
      </c>
      <c r="C683" s="76">
        <v>446</v>
      </c>
      <c r="D683" s="72" t="s">
        <v>7024</v>
      </c>
      <c r="E683" s="86" t="s">
        <v>19</v>
      </c>
      <c r="F683" s="74">
        <v>42732</v>
      </c>
      <c r="G683" s="83">
        <f>158.34+240+89.28+368.51+68.38+163.52+160.3+163.52+163.52+93.38+73.34+43.27</f>
        <v>1785.36</v>
      </c>
      <c r="H683" s="96"/>
      <c r="K683" s="133"/>
      <c r="L683" s="63"/>
      <c r="M683" s="63"/>
      <c r="N683" s="63"/>
      <c r="O683" s="63"/>
      <c r="P683" s="63"/>
      <c r="Q683" s="63">
        <f t="shared" si="36"/>
        <v>1785.36</v>
      </c>
      <c r="R683" s="63">
        <f t="shared" si="37"/>
        <v>0</v>
      </c>
      <c r="S683" s="63">
        <f t="shared" si="38"/>
        <v>1785.36</v>
      </c>
    </row>
    <row r="684" spans="1:19" x14ac:dyDescent="0.2">
      <c r="A684" s="68">
        <v>145279</v>
      </c>
      <c r="B684" s="68" t="s">
        <v>7054</v>
      </c>
      <c r="C684" s="76">
        <v>446</v>
      </c>
      <c r="D684" s="72" t="s">
        <v>7025</v>
      </c>
      <c r="E684" s="86" t="s">
        <v>19</v>
      </c>
      <c r="F684" s="74">
        <v>42732</v>
      </c>
      <c r="G684" s="83">
        <f>123.65+126.44+41.3+46.31+105.65+105.65+105.65+93.38+72.92+240+41.3</f>
        <v>1102.2499999999998</v>
      </c>
      <c r="H684" s="96"/>
      <c r="K684" s="133"/>
      <c r="L684" s="63"/>
      <c r="M684" s="63"/>
      <c r="N684" s="63"/>
      <c r="O684" s="63"/>
      <c r="P684" s="63"/>
      <c r="Q684" s="63">
        <f t="shared" si="36"/>
        <v>1102.2499999999998</v>
      </c>
      <c r="R684" s="63">
        <f t="shared" si="37"/>
        <v>0</v>
      </c>
      <c r="S684" s="63">
        <f t="shared" si="38"/>
        <v>1102.2499999999998</v>
      </c>
    </row>
    <row r="685" spans="1:19" x14ac:dyDescent="0.2">
      <c r="A685" s="68">
        <v>135518</v>
      </c>
      <c r="B685" s="68" t="s">
        <v>3291</v>
      </c>
      <c r="C685" s="76">
        <v>447</v>
      </c>
      <c r="D685" s="72" t="s">
        <v>7026</v>
      </c>
      <c r="E685" s="86" t="s">
        <v>19</v>
      </c>
      <c r="F685" s="74">
        <v>42734</v>
      </c>
      <c r="G685" s="83">
        <f>174.23</f>
        <v>174.23</v>
      </c>
      <c r="H685" s="96"/>
      <c r="K685" s="133"/>
      <c r="L685" s="63"/>
      <c r="M685" s="63"/>
      <c r="N685" s="63"/>
      <c r="O685" s="63"/>
      <c r="P685" s="63"/>
      <c r="Q685" s="63">
        <f t="shared" si="36"/>
        <v>174.23</v>
      </c>
      <c r="R685" s="63">
        <f t="shared" si="37"/>
        <v>0</v>
      </c>
      <c r="S685" s="63">
        <f t="shared" si="38"/>
        <v>174.23</v>
      </c>
    </row>
    <row r="686" spans="1:19" x14ac:dyDescent="0.2">
      <c r="A686" s="68">
        <v>133243</v>
      </c>
      <c r="B686" s="68" t="s">
        <v>2285</v>
      </c>
      <c r="C686" s="76">
        <v>448</v>
      </c>
      <c r="D686" s="72" t="s">
        <v>7027</v>
      </c>
      <c r="E686" s="86" t="s">
        <v>19</v>
      </c>
      <c r="F686" s="74">
        <v>43099</v>
      </c>
      <c r="G686" s="83"/>
      <c r="H686" s="96"/>
      <c r="K686" s="133"/>
      <c r="L686" s="63"/>
      <c r="M686" s="63"/>
      <c r="N686" s="63"/>
      <c r="O686" s="63"/>
      <c r="P686" s="63"/>
      <c r="Q686" s="63">
        <f t="shared" si="36"/>
        <v>0</v>
      </c>
      <c r="R686" s="63">
        <f t="shared" si="37"/>
        <v>0</v>
      </c>
      <c r="S686" s="63">
        <f t="shared" si="38"/>
        <v>0</v>
      </c>
    </row>
    <row r="687" spans="1:19" x14ac:dyDescent="0.2">
      <c r="A687" s="68">
        <v>143649</v>
      </c>
      <c r="B687" s="68" t="s">
        <v>4648</v>
      </c>
      <c r="C687" s="76">
        <v>449</v>
      </c>
      <c r="D687" s="72" t="s">
        <v>7028</v>
      </c>
      <c r="E687" s="86" t="s">
        <v>19</v>
      </c>
      <c r="F687" s="74">
        <v>43100</v>
      </c>
      <c r="G687" s="83">
        <f>698.3+885.47+118+51.92+3056.9+535+429.28+549.9+370+76.95+139.91+1037+350+810+218.8+59+50.18+59+2696.05+535+59+535+535</f>
        <v>13855.66</v>
      </c>
      <c r="H687" s="96"/>
      <c r="I687" s="63">
        <v>3950</v>
      </c>
      <c r="K687" s="133"/>
      <c r="L687" s="63"/>
      <c r="M687" s="63"/>
      <c r="N687" s="63"/>
      <c r="O687" s="63"/>
      <c r="P687" s="63"/>
      <c r="Q687" s="63">
        <f t="shared" si="36"/>
        <v>17805.66</v>
      </c>
      <c r="R687" s="63">
        <f t="shared" si="37"/>
        <v>0</v>
      </c>
      <c r="S687" s="63">
        <f t="shared" si="38"/>
        <v>17805.66</v>
      </c>
    </row>
    <row r="688" spans="1:19" x14ac:dyDescent="0.2">
      <c r="A688" s="68">
        <v>133132</v>
      </c>
      <c r="B688" s="68" t="s">
        <v>7055</v>
      </c>
      <c r="C688" s="76">
        <v>450</v>
      </c>
      <c r="D688" s="72" t="s">
        <v>7029</v>
      </c>
      <c r="E688" s="86" t="s">
        <v>19</v>
      </c>
      <c r="F688" s="74">
        <v>43100</v>
      </c>
      <c r="G688" s="83">
        <f>70</f>
        <v>70</v>
      </c>
      <c r="H688" s="96"/>
      <c r="K688" s="133"/>
      <c r="L688" s="63"/>
      <c r="M688" s="63"/>
      <c r="N688" s="63"/>
      <c r="O688" s="63"/>
      <c r="P688" s="63"/>
      <c r="Q688" s="63">
        <f t="shared" si="36"/>
        <v>70</v>
      </c>
      <c r="R688" s="63">
        <f t="shared" si="37"/>
        <v>0</v>
      </c>
      <c r="S688" s="63">
        <f t="shared" si="38"/>
        <v>70</v>
      </c>
    </row>
    <row r="689" spans="1:25" x14ac:dyDescent="0.2">
      <c r="A689" s="77"/>
      <c r="B689" s="85"/>
      <c r="C689" s="76"/>
      <c r="D689" s="72"/>
      <c r="E689" s="86"/>
      <c r="F689" s="87"/>
      <c r="G689" s="83"/>
      <c r="H689" s="96"/>
      <c r="K689" s="133"/>
      <c r="L689" s="63"/>
      <c r="M689" s="63"/>
      <c r="N689" s="63"/>
      <c r="O689" s="63"/>
      <c r="P689" s="63"/>
      <c r="Q689" s="63">
        <f t="shared" si="36"/>
        <v>0</v>
      </c>
      <c r="R689" s="63">
        <f t="shared" si="37"/>
        <v>0</v>
      </c>
      <c r="S689" s="63">
        <f t="shared" si="38"/>
        <v>0</v>
      </c>
    </row>
    <row r="690" spans="1:25" x14ac:dyDescent="0.2">
      <c r="G690" s="63">
        <f>SUM(G7:G689)</f>
        <v>647809.82430000009</v>
      </c>
      <c r="H690" s="63">
        <f t="shared" ref="H690:S690" si="39">SUM(H7:H689)</f>
        <v>0</v>
      </c>
      <c r="I690" s="63">
        <f t="shared" si="39"/>
        <v>221086.70000000007</v>
      </c>
      <c r="J690" s="63">
        <f t="shared" si="39"/>
        <v>0</v>
      </c>
      <c r="K690" s="97">
        <f t="shared" si="39"/>
        <v>0</v>
      </c>
      <c r="L690" s="97">
        <f t="shared" si="39"/>
        <v>0</v>
      </c>
      <c r="M690" s="97">
        <f t="shared" si="39"/>
        <v>48950</v>
      </c>
      <c r="N690" s="97">
        <f t="shared" si="39"/>
        <v>3950</v>
      </c>
      <c r="O690" s="97">
        <f t="shared" si="39"/>
        <v>205000</v>
      </c>
      <c r="P690" s="97">
        <f t="shared" si="39"/>
        <v>15800</v>
      </c>
      <c r="Q690" s="97">
        <f t="shared" si="39"/>
        <v>1122846.5243000002</v>
      </c>
      <c r="R690" s="97">
        <f t="shared" si="39"/>
        <v>19750</v>
      </c>
      <c r="S690" s="97">
        <f t="shared" si="39"/>
        <v>1142596.5243000006</v>
      </c>
      <c r="T690" s="84"/>
      <c r="U690" s="84">
        <f>SUM(U7:U689)</f>
        <v>0</v>
      </c>
      <c r="V690" s="84">
        <f>SUM(V7:V689)</f>
        <v>0</v>
      </c>
      <c r="W690" s="84">
        <f>SUM(W7:W689)</f>
        <v>0</v>
      </c>
      <c r="X690" s="84">
        <f>SUM(X7:X689)</f>
        <v>0</v>
      </c>
      <c r="Y690" s="84">
        <f>SUM(Y7:Y689)</f>
        <v>0</v>
      </c>
    </row>
  </sheetData>
  <autoFilter ref="A1:S690"/>
  <mergeCells count="25">
    <mergeCell ref="K3:L3"/>
    <mergeCell ref="M3:N3"/>
    <mergeCell ref="O3:P3"/>
    <mergeCell ref="Q3:Q6"/>
    <mergeCell ref="G4:G6"/>
    <mergeCell ref="H4:H6"/>
    <mergeCell ref="I4:I6"/>
    <mergeCell ref="J4:J6"/>
    <mergeCell ref="K4:K6"/>
    <mergeCell ref="A2:S2"/>
    <mergeCell ref="A3:A6"/>
    <mergeCell ref="B3:B6"/>
    <mergeCell ref="C3:C6"/>
    <mergeCell ref="D3:D6"/>
    <mergeCell ref="E3:E6"/>
    <mergeCell ref="F3:F6"/>
    <mergeCell ref="G3:H3"/>
    <mergeCell ref="I3:J3"/>
    <mergeCell ref="R3:R6"/>
    <mergeCell ref="S3:S6"/>
    <mergeCell ref="M4:M6"/>
    <mergeCell ref="N4:N6"/>
    <mergeCell ref="O4:O6"/>
    <mergeCell ref="P4:P6"/>
    <mergeCell ref="L4:L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4"/>
  <sheetViews>
    <sheetView topLeftCell="A2" workbookViewId="0">
      <pane xSplit="4" ySplit="6" topLeftCell="E824" activePane="bottomRight" state="frozen"/>
      <selection activeCell="D3" sqref="D3"/>
      <selection pane="topRight" activeCell="D3" sqref="D3"/>
      <selection pane="bottomLeft" activeCell="D3" sqref="D3"/>
      <selection pane="bottomRight" activeCell="A3" sqref="A3:S3"/>
    </sheetView>
  </sheetViews>
  <sheetFormatPr baseColWidth="10" defaultRowHeight="12" x14ac:dyDescent="0.2"/>
  <cols>
    <col min="1" max="2" width="11.42578125" style="149"/>
    <col min="3" max="3" width="13" style="77" customWidth="1"/>
    <col min="4" max="4" width="34.42578125" style="93" customWidth="1"/>
    <col min="5" max="5" width="21.28515625" style="93" customWidth="1"/>
    <col min="6" max="6" width="15.140625" style="149" customWidth="1"/>
    <col min="7" max="7" width="14" style="77" customWidth="1"/>
    <col min="8" max="8" width="13.7109375" style="77" customWidth="1"/>
    <col min="9" max="9" width="13.42578125" style="84" customWidth="1"/>
    <col min="10" max="10" width="13.85546875" style="77" customWidth="1"/>
    <col min="11" max="11" width="13.28515625" style="77" customWidth="1"/>
    <col min="12" max="12" width="13.5703125" style="77" customWidth="1"/>
    <col min="13" max="13" width="13.85546875" style="77" customWidth="1"/>
    <col min="14" max="14" width="14" style="77" customWidth="1"/>
    <col min="15" max="15" width="13" style="77" customWidth="1"/>
    <col min="16" max="16" width="13.7109375" style="77" customWidth="1"/>
    <col min="17" max="17" width="13.85546875" style="77" customWidth="1"/>
    <col min="18" max="18" width="14" style="77" customWidth="1"/>
    <col min="19" max="16384" width="11.42578125" style="77"/>
  </cols>
  <sheetData>
    <row r="1" spans="1:19" ht="63.75" customHeight="1" x14ac:dyDescent="0.2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</row>
    <row r="2" spans="1:19" ht="12.75" thickBot="1" x14ac:dyDescent="0.25">
      <c r="A2" s="98"/>
      <c r="B2" s="99"/>
      <c r="C2" s="99"/>
      <c r="D2" s="80"/>
      <c r="E2" s="80"/>
      <c r="F2" s="100"/>
      <c r="G2" s="80"/>
      <c r="H2" s="80"/>
      <c r="I2" s="101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6.5" thickBot="1" x14ac:dyDescent="0.25">
      <c r="A3" s="198" t="s">
        <v>9393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</row>
    <row r="4" spans="1:19" ht="15" customHeight="1" x14ac:dyDescent="0.2">
      <c r="A4" s="221" t="s">
        <v>0</v>
      </c>
      <c r="B4" s="224" t="s">
        <v>1</v>
      </c>
      <c r="C4" s="227" t="s">
        <v>2</v>
      </c>
      <c r="D4" s="229" t="s">
        <v>3</v>
      </c>
      <c r="E4" s="229" t="s">
        <v>4</v>
      </c>
      <c r="F4" s="231" t="s">
        <v>5</v>
      </c>
      <c r="G4" s="234" t="s">
        <v>6</v>
      </c>
      <c r="H4" s="234"/>
      <c r="I4" s="234" t="s">
        <v>7</v>
      </c>
      <c r="J4" s="234"/>
      <c r="K4" s="234" t="s">
        <v>8</v>
      </c>
      <c r="L4" s="234"/>
      <c r="M4" s="234" t="s">
        <v>9</v>
      </c>
      <c r="N4" s="234"/>
      <c r="O4" s="234" t="s">
        <v>10</v>
      </c>
      <c r="P4" s="234"/>
      <c r="Q4" s="227" t="s">
        <v>11</v>
      </c>
      <c r="R4" s="227" t="s">
        <v>12</v>
      </c>
      <c r="S4" s="235" t="s">
        <v>13</v>
      </c>
    </row>
    <row r="5" spans="1:19" x14ac:dyDescent="0.2">
      <c r="A5" s="222"/>
      <c r="B5" s="225"/>
      <c r="C5" s="203"/>
      <c r="D5" s="204"/>
      <c r="E5" s="204"/>
      <c r="F5" s="232"/>
      <c r="G5" s="203" t="s">
        <v>14</v>
      </c>
      <c r="H5" s="203" t="s">
        <v>15</v>
      </c>
      <c r="I5" s="238" t="s">
        <v>14</v>
      </c>
      <c r="J5" s="203" t="s">
        <v>15</v>
      </c>
      <c r="K5" s="203" t="s">
        <v>14</v>
      </c>
      <c r="L5" s="203" t="s">
        <v>15</v>
      </c>
      <c r="M5" s="203" t="s">
        <v>14</v>
      </c>
      <c r="N5" s="203" t="s">
        <v>15</v>
      </c>
      <c r="O5" s="203" t="s">
        <v>14</v>
      </c>
      <c r="P5" s="203" t="s">
        <v>15</v>
      </c>
      <c r="Q5" s="203"/>
      <c r="R5" s="203"/>
      <c r="S5" s="236"/>
    </row>
    <row r="6" spans="1:19" x14ac:dyDescent="0.2">
      <c r="A6" s="222"/>
      <c r="B6" s="225"/>
      <c r="C6" s="203"/>
      <c r="D6" s="204"/>
      <c r="E6" s="204"/>
      <c r="F6" s="232"/>
      <c r="G6" s="203"/>
      <c r="H6" s="203"/>
      <c r="I6" s="238"/>
      <c r="J6" s="203"/>
      <c r="K6" s="203"/>
      <c r="L6" s="203"/>
      <c r="M6" s="203"/>
      <c r="N6" s="203"/>
      <c r="O6" s="203"/>
      <c r="P6" s="203"/>
      <c r="Q6" s="203"/>
      <c r="R6" s="203"/>
      <c r="S6" s="236"/>
    </row>
    <row r="7" spans="1:19" ht="12.75" thickBot="1" x14ac:dyDescent="0.25">
      <c r="A7" s="223"/>
      <c r="B7" s="226"/>
      <c r="C7" s="228"/>
      <c r="D7" s="230"/>
      <c r="E7" s="230"/>
      <c r="F7" s="233"/>
      <c r="G7" s="212"/>
      <c r="H7" s="212"/>
      <c r="I7" s="239"/>
      <c r="J7" s="212"/>
      <c r="K7" s="212"/>
      <c r="L7" s="212"/>
      <c r="M7" s="212"/>
      <c r="N7" s="212"/>
      <c r="O7" s="212"/>
      <c r="P7" s="212"/>
      <c r="Q7" s="212"/>
      <c r="R7" s="212"/>
      <c r="S7" s="237"/>
    </row>
    <row r="8" spans="1:19" x14ac:dyDescent="0.2">
      <c r="A8" s="102" t="s">
        <v>4068</v>
      </c>
      <c r="B8" s="71" t="s">
        <v>4087</v>
      </c>
      <c r="C8" s="88">
        <v>1</v>
      </c>
      <c r="D8" s="73" t="s">
        <v>4109</v>
      </c>
      <c r="E8" s="73" t="s">
        <v>19</v>
      </c>
      <c r="F8" s="75">
        <v>42005</v>
      </c>
      <c r="G8" s="81">
        <f>4109.32+157.12+435+157.12+240+125+215+215+240</f>
        <v>5893.5599999999995</v>
      </c>
      <c r="H8" s="79"/>
      <c r="I8" s="79">
        <f>750+750+750+750</f>
        <v>3000</v>
      </c>
      <c r="J8" s="79"/>
      <c r="K8" s="79"/>
      <c r="L8" s="79"/>
      <c r="M8" s="79"/>
      <c r="N8" s="79"/>
      <c r="O8" s="79"/>
      <c r="P8" s="79"/>
      <c r="Q8" s="79">
        <f>+G8+I8+K8+M8+O8</f>
        <v>8893.56</v>
      </c>
      <c r="R8" s="79">
        <f>+H8+J8+L8+N8+P8</f>
        <v>0</v>
      </c>
      <c r="S8" s="79">
        <f>+Q8+R8</f>
        <v>8893.56</v>
      </c>
    </row>
    <row r="9" spans="1:19" x14ac:dyDescent="0.2">
      <c r="A9" s="102" t="s">
        <v>4068</v>
      </c>
      <c r="B9" s="71" t="s">
        <v>4087</v>
      </c>
      <c r="C9" s="76">
        <v>1</v>
      </c>
      <c r="D9" s="73" t="s">
        <v>4110</v>
      </c>
      <c r="E9" s="73" t="s">
        <v>19</v>
      </c>
      <c r="F9" s="75">
        <v>42005</v>
      </c>
      <c r="G9" s="82">
        <f>1064.44+41.3+1813.13</f>
        <v>2918.87</v>
      </c>
      <c r="H9" s="79"/>
      <c r="I9" s="79">
        <f>750/30*35</f>
        <v>875</v>
      </c>
      <c r="J9" s="79"/>
      <c r="K9" s="79"/>
      <c r="L9" s="79"/>
      <c r="M9" s="79"/>
      <c r="N9" s="79"/>
      <c r="O9" s="79"/>
      <c r="P9" s="79"/>
      <c r="Q9" s="79">
        <f t="shared" ref="Q9:Q72" si="0">+G9+I9+K9+M9+O9</f>
        <v>3793.87</v>
      </c>
      <c r="R9" s="79">
        <f t="shared" ref="R9:R72" si="1">+H9+J9+L9+N9+P9</f>
        <v>0</v>
      </c>
      <c r="S9" s="79">
        <f t="shared" ref="S9:S72" si="2">+Q9+R9</f>
        <v>3793.87</v>
      </c>
    </row>
    <row r="10" spans="1:19" x14ac:dyDescent="0.2">
      <c r="A10" s="102" t="s">
        <v>4068</v>
      </c>
      <c r="B10" s="71" t="s">
        <v>4087</v>
      </c>
      <c r="C10" s="76">
        <v>1</v>
      </c>
      <c r="D10" s="73" t="s">
        <v>4111</v>
      </c>
      <c r="E10" s="73" t="s">
        <v>19</v>
      </c>
      <c r="F10" s="75">
        <v>42005</v>
      </c>
      <c r="G10" s="82">
        <f>78.19</f>
        <v>78.19</v>
      </c>
      <c r="H10" s="79"/>
      <c r="I10" s="79"/>
      <c r="J10" s="79"/>
      <c r="K10" s="79"/>
      <c r="L10" s="79"/>
      <c r="M10" s="79"/>
      <c r="N10" s="79"/>
      <c r="O10" s="79"/>
      <c r="P10" s="79"/>
      <c r="Q10" s="79">
        <f t="shared" si="0"/>
        <v>78.19</v>
      </c>
      <c r="R10" s="79">
        <f t="shared" si="1"/>
        <v>0</v>
      </c>
      <c r="S10" s="79">
        <f t="shared" si="2"/>
        <v>78.19</v>
      </c>
    </row>
    <row r="11" spans="1:19" x14ac:dyDescent="0.2">
      <c r="A11" s="102" t="s">
        <v>4068</v>
      </c>
      <c r="B11" s="71" t="s">
        <v>4087</v>
      </c>
      <c r="C11" s="76">
        <v>1</v>
      </c>
      <c r="D11" s="73" t="s">
        <v>4112</v>
      </c>
      <c r="E11" s="73" t="s">
        <v>19</v>
      </c>
      <c r="F11" s="75">
        <v>42005</v>
      </c>
      <c r="G11" s="82"/>
      <c r="H11" s="79"/>
      <c r="I11" s="79"/>
      <c r="J11" s="79"/>
      <c r="K11" s="79"/>
      <c r="L11" s="79"/>
      <c r="M11" s="79"/>
      <c r="N11" s="79"/>
      <c r="O11" s="79"/>
      <c r="P11" s="79"/>
      <c r="Q11" s="79">
        <f t="shared" si="0"/>
        <v>0</v>
      </c>
      <c r="R11" s="79">
        <f t="shared" si="1"/>
        <v>0</v>
      </c>
      <c r="S11" s="79">
        <f t="shared" si="2"/>
        <v>0</v>
      </c>
    </row>
    <row r="12" spans="1:19" x14ac:dyDescent="0.2">
      <c r="A12" s="102">
        <v>102617</v>
      </c>
      <c r="B12" s="71" t="s">
        <v>4088</v>
      </c>
      <c r="C12" s="76">
        <v>2</v>
      </c>
      <c r="D12" s="73" t="s">
        <v>4113</v>
      </c>
      <c r="E12" s="73" t="s">
        <v>19</v>
      </c>
      <c r="F12" s="75">
        <v>42009</v>
      </c>
      <c r="G12" s="82">
        <f>95.76</f>
        <v>95.76</v>
      </c>
      <c r="H12" s="79"/>
      <c r="I12" s="79"/>
      <c r="J12" s="79"/>
      <c r="K12" s="79"/>
      <c r="L12" s="79"/>
      <c r="M12" s="79"/>
      <c r="N12" s="79"/>
      <c r="O12" s="79"/>
      <c r="P12" s="79"/>
      <c r="Q12" s="79">
        <f t="shared" si="0"/>
        <v>95.76</v>
      </c>
      <c r="R12" s="79">
        <f t="shared" si="1"/>
        <v>0</v>
      </c>
      <c r="S12" s="79">
        <f t="shared" si="2"/>
        <v>95.76</v>
      </c>
    </row>
    <row r="13" spans="1:19" x14ac:dyDescent="0.2">
      <c r="A13" s="102">
        <v>110493</v>
      </c>
      <c r="B13" s="71" t="s">
        <v>4089</v>
      </c>
      <c r="C13" s="76">
        <v>3</v>
      </c>
      <c r="D13" s="73" t="s">
        <v>4248</v>
      </c>
      <c r="E13" s="73" t="s">
        <v>19</v>
      </c>
      <c r="F13" s="75">
        <v>42009</v>
      </c>
      <c r="G13" s="82">
        <f>240+61.48+47.2+3105.41+91.95+240</f>
        <v>3786.0399999999995</v>
      </c>
      <c r="H13" s="79"/>
      <c r="I13" s="79">
        <f>1000</f>
        <v>1000</v>
      </c>
      <c r="J13" s="79"/>
      <c r="K13" s="79"/>
      <c r="L13" s="79"/>
      <c r="M13" s="79"/>
      <c r="N13" s="79"/>
      <c r="O13" s="79"/>
      <c r="P13" s="79"/>
      <c r="Q13" s="79">
        <f t="shared" si="0"/>
        <v>4786.0399999999991</v>
      </c>
      <c r="R13" s="79">
        <f t="shared" si="1"/>
        <v>0</v>
      </c>
      <c r="S13" s="79">
        <f t="shared" si="2"/>
        <v>4786.0399999999991</v>
      </c>
    </row>
    <row r="14" spans="1:19" x14ac:dyDescent="0.2">
      <c r="A14" s="102">
        <v>110493</v>
      </c>
      <c r="B14" s="71" t="s">
        <v>4089</v>
      </c>
      <c r="C14" s="76">
        <v>3</v>
      </c>
      <c r="D14" s="73" t="s">
        <v>4552</v>
      </c>
      <c r="E14" s="73" t="s">
        <v>19</v>
      </c>
      <c r="F14" s="75">
        <v>42009</v>
      </c>
      <c r="G14" s="82">
        <f>5381+164.36+127.49</f>
        <v>5672.8499999999995</v>
      </c>
      <c r="H14" s="79"/>
      <c r="I14" s="79">
        <f>1500+1500+850</f>
        <v>3850</v>
      </c>
      <c r="J14" s="79"/>
      <c r="K14" s="79"/>
      <c r="L14" s="79"/>
      <c r="M14" s="79"/>
      <c r="N14" s="79"/>
      <c r="O14" s="79"/>
      <c r="P14" s="79"/>
      <c r="Q14" s="79">
        <f t="shared" si="0"/>
        <v>9522.8499999999985</v>
      </c>
      <c r="R14" s="79">
        <f t="shared" si="1"/>
        <v>0</v>
      </c>
      <c r="S14" s="79">
        <f t="shared" si="2"/>
        <v>9522.8499999999985</v>
      </c>
    </row>
    <row r="15" spans="1:19" x14ac:dyDescent="0.2">
      <c r="A15" s="102" t="s">
        <v>4069</v>
      </c>
      <c r="B15" s="71" t="s">
        <v>4090</v>
      </c>
      <c r="C15" s="76">
        <v>4</v>
      </c>
      <c r="D15" s="73" t="s">
        <v>4114</v>
      </c>
      <c r="E15" s="73" t="s">
        <v>19</v>
      </c>
      <c r="F15" s="75">
        <v>42009</v>
      </c>
      <c r="G15" s="82">
        <f>71.31+105.15+41.3</f>
        <v>217.76</v>
      </c>
      <c r="H15" s="79"/>
      <c r="I15" s="79"/>
      <c r="J15" s="79"/>
      <c r="K15" s="79"/>
      <c r="L15" s="79"/>
      <c r="M15" s="79"/>
      <c r="N15" s="79"/>
      <c r="O15" s="79"/>
      <c r="P15" s="79"/>
      <c r="Q15" s="79">
        <f t="shared" si="0"/>
        <v>217.76</v>
      </c>
      <c r="R15" s="79">
        <f t="shared" si="1"/>
        <v>0</v>
      </c>
      <c r="S15" s="79">
        <f t="shared" si="2"/>
        <v>217.76</v>
      </c>
    </row>
    <row r="16" spans="1:19" x14ac:dyDescent="0.2">
      <c r="A16" s="102" t="s">
        <v>4069</v>
      </c>
      <c r="B16" s="71" t="s">
        <v>4090</v>
      </c>
      <c r="C16" s="76">
        <v>4</v>
      </c>
      <c r="D16" s="73" t="s">
        <v>4115</v>
      </c>
      <c r="E16" s="73" t="s">
        <v>19</v>
      </c>
      <c r="F16" s="75">
        <v>42009</v>
      </c>
      <c r="G16" s="82">
        <f>41.3+127.68+41.3</f>
        <v>210.28000000000003</v>
      </c>
      <c r="H16" s="79"/>
      <c r="I16" s="79"/>
      <c r="J16" s="79"/>
      <c r="K16" s="79"/>
      <c r="L16" s="79"/>
      <c r="M16" s="79"/>
      <c r="N16" s="79"/>
      <c r="O16" s="79"/>
      <c r="P16" s="79"/>
      <c r="Q16" s="79">
        <f t="shared" si="0"/>
        <v>210.28000000000003</v>
      </c>
      <c r="R16" s="79">
        <f t="shared" si="1"/>
        <v>0</v>
      </c>
      <c r="S16" s="79">
        <f t="shared" si="2"/>
        <v>210.28000000000003</v>
      </c>
    </row>
    <row r="17" spans="1:19" x14ac:dyDescent="0.2">
      <c r="A17" s="102" t="s">
        <v>4070</v>
      </c>
      <c r="B17" s="71" t="s">
        <v>4091</v>
      </c>
      <c r="C17" s="76">
        <v>5</v>
      </c>
      <c r="D17" s="73" t="s">
        <v>4116</v>
      </c>
      <c r="E17" s="73" t="s">
        <v>19</v>
      </c>
      <c r="F17" s="75">
        <v>42011</v>
      </c>
      <c r="G17" s="82">
        <f>49</f>
        <v>49</v>
      </c>
      <c r="H17" s="79"/>
      <c r="I17" s="79"/>
      <c r="J17" s="79"/>
      <c r="K17" s="79"/>
      <c r="L17" s="79"/>
      <c r="M17" s="79"/>
      <c r="N17" s="79"/>
      <c r="O17" s="79"/>
      <c r="P17" s="79"/>
      <c r="Q17" s="79">
        <f t="shared" si="0"/>
        <v>49</v>
      </c>
      <c r="R17" s="79">
        <f t="shared" si="1"/>
        <v>0</v>
      </c>
      <c r="S17" s="79">
        <f t="shared" si="2"/>
        <v>49</v>
      </c>
    </row>
    <row r="18" spans="1:19" x14ac:dyDescent="0.2">
      <c r="A18" s="102" t="s">
        <v>4070</v>
      </c>
      <c r="B18" s="71" t="s">
        <v>4091</v>
      </c>
      <c r="C18" s="76">
        <v>5</v>
      </c>
      <c r="D18" s="73" t="s">
        <v>4117</v>
      </c>
      <c r="E18" s="73" t="s">
        <v>19</v>
      </c>
      <c r="F18" s="75">
        <v>42011</v>
      </c>
      <c r="G18" s="82">
        <f>169.9</f>
        <v>169.9</v>
      </c>
      <c r="H18" s="79"/>
      <c r="I18" s="79"/>
      <c r="J18" s="79"/>
      <c r="K18" s="79"/>
      <c r="L18" s="79"/>
      <c r="M18" s="79"/>
      <c r="N18" s="79"/>
      <c r="O18" s="79"/>
      <c r="P18" s="79"/>
      <c r="Q18" s="79">
        <f t="shared" si="0"/>
        <v>169.9</v>
      </c>
      <c r="R18" s="79">
        <f t="shared" si="1"/>
        <v>0</v>
      </c>
      <c r="S18" s="79">
        <f t="shared" si="2"/>
        <v>169.9</v>
      </c>
    </row>
    <row r="19" spans="1:19" x14ac:dyDescent="0.2">
      <c r="A19" s="102" t="s">
        <v>4070</v>
      </c>
      <c r="B19" s="71" t="s">
        <v>4091</v>
      </c>
      <c r="C19" s="76">
        <v>5</v>
      </c>
      <c r="D19" s="73" t="s">
        <v>4118</v>
      </c>
      <c r="E19" s="73" t="s">
        <v>19</v>
      </c>
      <c r="F19" s="75">
        <v>42011</v>
      </c>
      <c r="G19" s="82">
        <f>455.8+490.3</f>
        <v>946.1</v>
      </c>
      <c r="H19" s="79"/>
      <c r="I19" s="79">
        <f>750+750</f>
        <v>1500</v>
      </c>
      <c r="J19" s="79"/>
      <c r="K19" s="79"/>
      <c r="L19" s="79"/>
      <c r="M19" s="79"/>
      <c r="N19" s="79"/>
      <c r="O19" s="79"/>
      <c r="P19" s="79"/>
      <c r="Q19" s="79">
        <f t="shared" si="0"/>
        <v>2446.1</v>
      </c>
      <c r="R19" s="79">
        <f t="shared" si="1"/>
        <v>0</v>
      </c>
      <c r="S19" s="79">
        <f t="shared" si="2"/>
        <v>2446.1</v>
      </c>
    </row>
    <row r="20" spans="1:19" x14ac:dyDescent="0.2">
      <c r="A20" s="102" t="s">
        <v>4070</v>
      </c>
      <c r="B20" s="71" t="s">
        <v>4091</v>
      </c>
      <c r="C20" s="76">
        <v>5</v>
      </c>
      <c r="D20" s="73" t="s">
        <v>4119</v>
      </c>
      <c r="E20" s="73" t="s">
        <v>19</v>
      </c>
      <c r="F20" s="75">
        <v>42011</v>
      </c>
      <c r="G20" s="82">
        <f>48.8</f>
        <v>48.8</v>
      </c>
      <c r="H20" s="79"/>
      <c r="I20" s="79"/>
      <c r="J20" s="79"/>
      <c r="K20" s="79"/>
      <c r="L20" s="79"/>
      <c r="M20" s="79"/>
      <c r="N20" s="79"/>
      <c r="O20" s="79"/>
      <c r="P20" s="79"/>
      <c r="Q20" s="79">
        <f t="shared" si="0"/>
        <v>48.8</v>
      </c>
      <c r="R20" s="79">
        <f t="shared" si="1"/>
        <v>0</v>
      </c>
      <c r="S20" s="79">
        <f t="shared" si="2"/>
        <v>48.8</v>
      </c>
    </row>
    <row r="21" spans="1:19" x14ac:dyDescent="0.2">
      <c r="A21" s="102" t="s">
        <v>4070</v>
      </c>
      <c r="B21" s="71" t="s">
        <v>4091</v>
      </c>
      <c r="C21" s="76">
        <v>5</v>
      </c>
      <c r="D21" s="73" t="s">
        <v>4120</v>
      </c>
      <c r="E21" s="73" t="s">
        <v>19</v>
      </c>
      <c r="F21" s="75">
        <v>42011</v>
      </c>
      <c r="G21" s="82">
        <f>92</f>
        <v>92</v>
      </c>
      <c r="H21" s="79"/>
      <c r="I21" s="79"/>
      <c r="J21" s="79"/>
      <c r="K21" s="79"/>
      <c r="L21" s="79"/>
      <c r="M21" s="79"/>
      <c r="N21" s="79"/>
      <c r="O21" s="79"/>
      <c r="P21" s="79"/>
      <c r="Q21" s="79">
        <f t="shared" si="0"/>
        <v>92</v>
      </c>
      <c r="R21" s="79">
        <f t="shared" si="1"/>
        <v>0</v>
      </c>
      <c r="S21" s="79">
        <f t="shared" si="2"/>
        <v>92</v>
      </c>
    </row>
    <row r="22" spans="1:19" x14ac:dyDescent="0.2">
      <c r="A22" s="102" t="s">
        <v>4070</v>
      </c>
      <c r="B22" s="71" t="s">
        <v>4091</v>
      </c>
      <c r="C22" s="76">
        <v>5</v>
      </c>
      <c r="D22" s="73" t="s">
        <v>4121</v>
      </c>
      <c r="E22" s="73" t="s">
        <v>19</v>
      </c>
      <c r="F22" s="75">
        <v>42011</v>
      </c>
      <c r="G22" s="82">
        <f>195.5</f>
        <v>195.5</v>
      </c>
      <c r="H22" s="79"/>
      <c r="I22" s="79"/>
      <c r="J22" s="79"/>
      <c r="K22" s="79"/>
      <c r="L22" s="79"/>
      <c r="M22" s="79"/>
      <c r="N22" s="79"/>
      <c r="O22" s="79"/>
      <c r="P22" s="79"/>
      <c r="Q22" s="79">
        <f t="shared" si="0"/>
        <v>195.5</v>
      </c>
      <c r="R22" s="79">
        <f t="shared" si="1"/>
        <v>0</v>
      </c>
      <c r="S22" s="79">
        <f t="shared" si="2"/>
        <v>195.5</v>
      </c>
    </row>
    <row r="23" spans="1:19" x14ac:dyDescent="0.2">
      <c r="A23" s="102" t="s">
        <v>4070</v>
      </c>
      <c r="B23" s="71" t="s">
        <v>4091</v>
      </c>
      <c r="C23" s="76">
        <v>5</v>
      </c>
      <c r="D23" s="73" t="s">
        <v>4122</v>
      </c>
      <c r="E23" s="73" t="s">
        <v>19</v>
      </c>
      <c r="F23" s="75">
        <v>42011</v>
      </c>
      <c r="G23" s="82">
        <f>172.6</f>
        <v>172.6</v>
      </c>
      <c r="H23" s="79"/>
      <c r="I23" s="79"/>
      <c r="J23" s="79"/>
      <c r="K23" s="79"/>
      <c r="L23" s="79"/>
      <c r="M23" s="79"/>
      <c r="N23" s="79"/>
      <c r="O23" s="79"/>
      <c r="P23" s="79"/>
      <c r="Q23" s="79">
        <f t="shared" si="0"/>
        <v>172.6</v>
      </c>
      <c r="R23" s="79">
        <f t="shared" si="1"/>
        <v>0</v>
      </c>
      <c r="S23" s="79">
        <f t="shared" si="2"/>
        <v>172.6</v>
      </c>
    </row>
    <row r="24" spans="1:19" x14ac:dyDescent="0.2">
      <c r="A24" s="102" t="s">
        <v>4070</v>
      </c>
      <c r="B24" s="71" t="s">
        <v>4091</v>
      </c>
      <c r="C24" s="76">
        <v>5</v>
      </c>
      <c r="D24" s="73" t="s">
        <v>4123</v>
      </c>
      <c r="E24" s="73" t="s">
        <v>19</v>
      </c>
      <c r="F24" s="75">
        <v>42011</v>
      </c>
      <c r="G24" s="82">
        <f>134.8</f>
        <v>134.80000000000001</v>
      </c>
      <c r="H24" s="79"/>
      <c r="I24" s="79"/>
      <c r="J24" s="79"/>
      <c r="K24" s="79"/>
      <c r="L24" s="79"/>
      <c r="M24" s="79"/>
      <c r="N24" s="79"/>
      <c r="O24" s="79"/>
      <c r="P24" s="79"/>
      <c r="Q24" s="79">
        <f t="shared" si="0"/>
        <v>134.80000000000001</v>
      </c>
      <c r="R24" s="79">
        <f t="shared" si="1"/>
        <v>0</v>
      </c>
      <c r="S24" s="79">
        <f t="shared" si="2"/>
        <v>134.80000000000001</v>
      </c>
    </row>
    <row r="25" spans="1:19" x14ac:dyDescent="0.2">
      <c r="A25" s="102" t="s">
        <v>4070</v>
      </c>
      <c r="B25" s="71" t="s">
        <v>4091</v>
      </c>
      <c r="C25" s="76">
        <v>5</v>
      </c>
      <c r="D25" s="73" t="s">
        <v>4124</v>
      </c>
      <c r="E25" s="73" t="s">
        <v>19</v>
      </c>
      <c r="F25" s="75">
        <v>42011</v>
      </c>
      <c r="G25" s="82">
        <f>100</f>
        <v>100</v>
      </c>
      <c r="H25" s="79"/>
      <c r="I25" s="79"/>
      <c r="J25" s="79"/>
      <c r="K25" s="79"/>
      <c r="L25" s="79"/>
      <c r="M25" s="79"/>
      <c r="N25" s="79"/>
      <c r="O25" s="79"/>
      <c r="P25" s="79"/>
      <c r="Q25" s="79">
        <f t="shared" si="0"/>
        <v>100</v>
      </c>
      <c r="R25" s="79">
        <f t="shared" si="1"/>
        <v>0</v>
      </c>
      <c r="S25" s="79">
        <f t="shared" si="2"/>
        <v>100</v>
      </c>
    </row>
    <row r="26" spans="1:19" x14ac:dyDescent="0.2">
      <c r="A26" s="102" t="s">
        <v>4070</v>
      </c>
      <c r="B26" s="71" t="s">
        <v>4091</v>
      </c>
      <c r="C26" s="76">
        <v>5</v>
      </c>
      <c r="D26" s="73" t="s">
        <v>4125</v>
      </c>
      <c r="E26" s="73" t="s">
        <v>19</v>
      </c>
      <c r="F26" s="75">
        <v>42011</v>
      </c>
      <c r="G26" s="82">
        <f>280+320+511.7</f>
        <v>1111.7</v>
      </c>
      <c r="H26" s="79"/>
      <c r="I26" s="79"/>
      <c r="J26" s="79"/>
      <c r="K26" s="79"/>
      <c r="L26" s="79"/>
      <c r="M26" s="79"/>
      <c r="N26" s="79"/>
      <c r="O26" s="79"/>
      <c r="P26" s="79"/>
      <c r="Q26" s="79">
        <f t="shared" si="0"/>
        <v>1111.7</v>
      </c>
      <c r="R26" s="79">
        <f t="shared" si="1"/>
        <v>0</v>
      </c>
      <c r="S26" s="79">
        <f t="shared" si="2"/>
        <v>1111.7</v>
      </c>
    </row>
    <row r="27" spans="1:19" x14ac:dyDescent="0.2">
      <c r="A27" s="102" t="s">
        <v>4070</v>
      </c>
      <c r="B27" s="71" t="s">
        <v>4091</v>
      </c>
      <c r="C27" s="76">
        <v>5</v>
      </c>
      <c r="D27" s="73" t="s">
        <v>4126</v>
      </c>
      <c r="E27" s="73" t="s">
        <v>19</v>
      </c>
      <c r="F27" s="75">
        <v>42011</v>
      </c>
      <c r="G27" s="82">
        <f>173.3</f>
        <v>173.3</v>
      </c>
      <c r="H27" s="79"/>
      <c r="I27" s="79"/>
      <c r="J27" s="79"/>
      <c r="K27" s="79"/>
      <c r="L27" s="79"/>
      <c r="M27" s="79"/>
      <c r="N27" s="79"/>
      <c r="O27" s="79"/>
      <c r="P27" s="79"/>
      <c r="Q27" s="79">
        <f t="shared" si="0"/>
        <v>173.3</v>
      </c>
      <c r="R27" s="79">
        <f t="shared" si="1"/>
        <v>0</v>
      </c>
      <c r="S27" s="79">
        <f t="shared" si="2"/>
        <v>173.3</v>
      </c>
    </row>
    <row r="28" spans="1:19" x14ac:dyDescent="0.2">
      <c r="A28" s="102" t="s">
        <v>4070</v>
      </c>
      <c r="B28" s="71" t="s">
        <v>4091</v>
      </c>
      <c r="C28" s="76">
        <v>5</v>
      </c>
      <c r="D28" s="73" t="s">
        <v>4127</v>
      </c>
      <c r="E28" s="73" t="s">
        <v>19</v>
      </c>
      <c r="F28" s="75">
        <v>42011</v>
      </c>
      <c r="G28" s="82">
        <f>49.2</f>
        <v>49.2</v>
      </c>
      <c r="H28" s="79"/>
      <c r="I28" s="79"/>
      <c r="J28" s="79"/>
      <c r="K28" s="79"/>
      <c r="L28" s="79"/>
      <c r="M28" s="79"/>
      <c r="N28" s="79"/>
      <c r="O28" s="79"/>
      <c r="P28" s="79"/>
      <c r="Q28" s="79">
        <f t="shared" si="0"/>
        <v>49.2</v>
      </c>
      <c r="R28" s="79">
        <f t="shared" si="1"/>
        <v>0</v>
      </c>
      <c r="S28" s="79">
        <f t="shared" si="2"/>
        <v>49.2</v>
      </c>
    </row>
    <row r="29" spans="1:19" x14ac:dyDescent="0.2">
      <c r="A29" s="102" t="s">
        <v>4070</v>
      </c>
      <c r="B29" s="71" t="s">
        <v>4091</v>
      </c>
      <c r="C29" s="76">
        <v>5</v>
      </c>
      <c r="D29" s="73" t="s">
        <v>4128</v>
      </c>
      <c r="E29" s="73" t="s">
        <v>19</v>
      </c>
      <c r="F29" s="75">
        <v>42011</v>
      </c>
      <c r="G29" s="82">
        <f>40</f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>
        <f t="shared" si="0"/>
        <v>40</v>
      </c>
      <c r="R29" s="79">
        <f t="shared" si="1"/>
        <v>0</v>
      </c>
      <c r="S29" s="79">
        <f t="shared" si="2"/>
        <v>40</v>
      </c>
    </row>
    <row r="30" spans="1:19" x14ac:dyDescent="0.2">
      <c r="A30" s="102" t="s">
        <v>4070</v>
      </c>
      <c r="B30" s="71" t="s">
        <v>4091</v>
      </c>
      <c r="C30" s="76">
        <v>5</v>
      </c>
      <c r="D30" s="73" t="s">
        <v>4129</v>
      </c>
      <c r="E30" s="73" t="s">
        <v>19</v>
      </c>
      <c r="F30" s="75">
        <v>42011</v>
      </c>
      <c r="G30" s="82">
        <f>177.6+74.3</f>
        <v>251.89999999999998</v>
      </c>
      <c r="H30" s="79"/>
      <c r="I30" s="79"/>
      <c r="J30" s="79"/>
      <c r="K30" s="79"/>
      <c r="L30" s="79"/>
      <c r="M30" s="79"/>
      <c r="N30" s="79"/>
      <c r="O30" s="79"/>
      <c r="P30" s="79"/>
      <c r="Q30" s="79">
        <f t="shared" si="0"/>
        <v>251.89999999999998</v>
      </c>
      <c r="R30" s="79">
        <f t="shared" si="1"/>
        <v>0</v>
      </c>
      <c r="S30" s="79">
        <f t="shared" si="2"/>
        <v>251.89999999999998</v>
      </c>
    </row>
    <row r="31" spans="1:19" x14ac:dyDescent="0.2">
      <c r="A31" s="102" t="s">
        <v>4070</v>
      </c>
      <c r="B31" s="71" t="s">
        <v>4091</v>
      </c>
      <c r="C31" s="76">
        <v>5</v>
      </c>
      <c r="D31" s="73" t="s">
        <v>4130</v>
      </c>
      <c r="E31" s="73" t="s">
        <v>19</v>
      </c>
      <c r="F31" s="75">
        <v>42011</v>
      </c>
      <c r="G31" s="82">
        <f>140.8</f>
        <v>140.80000000000001</v>
      </c>
      <c r="H31" s="79"/>
      <c r="I31" s="79"/>
      <c r="J31" s="79"/>
      <c r="K31" s="79"/>
      <c r="L31" s="79"/>
      <c r="M31" s="79"/>
      <c r="N31" s="79"/>
      <c r="O31" s="79"/>
      <c r="P31" s="79"/>
      <c r="Q31" s="79">
        <f t="shared" si="0"/>
        <v>140.80000000000001</v>
      </c>
      <c r="R31" s="79">
        <f t="shared" si="1"/>
        <v>0</v>
      </c>
      <c r="S31" s="79">
        <f t="shared" si="2"/>
        <v>140.80000000000001</v>
      </c>
    </row>
    <row r="32" spans="1:19" x14ac:dyDescent="0.2">
      <c r="A32" s="102" t="s">
        <v>4070</v>
      </c>
      <c r="B32" s="71" t="s">
        <v>4091</v>
      </c>
      <c r="C32" s="76">
        <v>5</v>
      </c>
      <c r="D32" s="73" t="s">
        <v>4323</v>
      </c>
      <c r="E32" s="73" t="s">
        <v>19</v>
      </c>
      <c r="F32" s="75">
        <v>42011</v>
      </c>
      <c r="G32" s="82">
        <f>107</f>
        <v>107</v>
      </c>
      <c r="H32" s="79"/>
      <c r="I32" s="79"/>
      <c r="J32" s="79"/>
      <c r="K32" s="79"/>
      <c r="L32" s="79"/>
      <c r="M32" s="79"/>
      <c r="N32" s="79"/>
      <c r="O32" s="79"/>
      <c r="P32" s="79"/>
      <c r="Q32" s="79">
        <f t="shared" si="0"/>
        <v>107</v>
      </c>
      <c r="R32" s="79">
        <f t="shared" si="1"/>
        <v>0</v>
      </c>
      <c r="S32" s="79">
        <f t="shared" si="2"/>
        <v>107</v>
      </c>
    </row>
    <row r="33" spans="1:19" x14ac:dyDescent="0.2">
      <c r="A33" s="102" t="s">
        <v>4071</v>
      </c>
      <c r="B33" s="71" t="s">
        <v>4092</v>
      </c>
      <c r="C33" s="76">
        <v>6</v>
      </c>
      <c r="D33" s="73" t="s">
        <v>4131</v>
      </c>
      <c r="E33" s="73" t="s">
        <v>19</v>
      </c>
      <c r="F33" s="75">
        <v>42012</v>
      </c>
      <c r="G33" s="82">
        <f>2456.15</f>
        <v>2456.15</v>
      </c>
      <c r="H33" s="79"/>
      <c r="I33" s="79"/>
      <c r="J33" s="79"/>
      <c r="K33" s="79"/>
      <c r="L33" s="79"/>
      <c r="M33" s="79"/>
      <c r="N33" s="79"/>
      <c r="O33" s="79"/>
      <c r="P33" s="79"/>
      <c r="Q33" s="79">
        <f t="shared" si="0"/>
        <v>2456.15</v>
      </c>
      <c r="R33" s="79">
        <f t="shared" si="1"/>
        <v>0</v>
      </c>
      <c r="S33" s="79">
        <f t="shared" si="2"/>
        <v>2456.15</v>
      </c>
    </row>
    <row r="34" spans="1:19" x14ac:dyDescent="0.2">
      <c r="A34" s="102" t="s">
        <v>4072</v>
      </c>
      <c r="B34" s="71" t="s">
        <v>4093</v>
      </c>
      <c r="C34" s="76">
        <v>7</v>
      </c>
      <c r="D34" s="73" t="s">
        <v>4132</v>
      </c>
      <c r="E34" s="73" t="s">
        <v>19</v>
      </c>
      <c r="F34" s="75">
        <v>42012</v>
      </c>
      <c r="G34" s="82">
        <f>41.3+624.44</f>
        <v>665.74</v>
      </c>
      <c r="H34" s="79"/>
      <c r="I34" s="79"/>
      <c r="J34" s="79"/>
      <c r="K34" s="79"/>
      <c r="L34" s="79"/>
      <c r="M34" s="79"/>
      <c r="N34" s="79"/>
      <c r="O34" s="79"/>
      <c r="P34" s="79"/>
      <c r="Q34" s="79">
        <f t="shared" si="0"/>
        <v>665.74</v>
      </c>
      <c r="R34" s="79">
        <f t="shared" si="1"/>
        <v>0</v>
      </c>
      <c r="S34" s="79">
        <f t="shared" si="2"/>
        <v>665.74</v>
      </c>
    </row>
    <row r="35" spans="1:19" x14ac:dyDescent="0.2">
      <c r="A35" s="102" t="s">
        <v>4073</v>
      </c>
      <c r="B35" s="71" t="s">
        <v>4094</v>
      </c>
      <c r="C35" s="76">
        <v>8</v>
      </c>
      <c r="D35" s="73" t="s">
        <v>4133</v>
      </c>
      <c r="E35" s="73" t="s">
        <v>19</v>
      </c>
      <c r="F35" s="75">
        <v>42012</v>
      </c>
      <c r="G35" s="82">
        <f>185.5+6877.81+67.85+64.9+613.8+631.3+86.26+64.9</f>
        <v>8592.32</v>
      </c>
      <c r="H35" s="79"/>
      <c r="I35" s="79">
        <f>3750</f>
        <v>3750</v>
      </c>
      <c r="J35" s="79"/>
      <c r="K35" s="79"/>
      <c r="L35" s="79"/>
      <c r="M35" s="79"/>
      <c r="N35" s="79"/>
      <c r="O35" s="79"/>
      <c r="P35" s="79"/>
      <c r="Q35" s="79">
        <f t="shared" si="0"/>
        <v>12342.32</v>
      </c>
      <c r="R35" s="79">
        <f t="shared" si="1"/>
        <v>0</v>
      </c>
      <c r="S35" s="79">
        <f t="shared" si="2"/>
        <v>12342.32</v>
      </c>
    </row>
    <row r="36" spans="1:19" x14ac:dyDescent="0.2">
      <c r="A36" s="102" t="s">
        <v>4074</v>
      </c>
      <c r="B36" s="71" t="s">
        <v>4095</v>
      </c>
      <c r="C36" s="76">
        <v>9</v>
      </c>
      <c r="D36" s="73" t="s">
        <v>4134</v>
      </c>
      <c r="E36" s="73" t="s">
        <v>19</v>
      </c>
      <c r="F36" s="75">
        <v>42012</v>
      </c>
      <c r="G36" s="82">
        <f>40</f>
        <v>40</v>
      </c>
      <c r="H36" s="79"/>
      <c r="I36" s="79"/>
      <c r="J36" s="79"/>
      <c r="K36" s="79"/>
      <c r="L36" s="79"/>
      <c r="M36" s="79"/>
      <c r="N36" s="79"/>
      <c r="O36" s="79"/>
      <c r="P36" s="79"/>
      <c r="Q36" s="79">
        <f t="shared" si="0"/>
        <v>40</v>
      </c>
      <c r="R36" s="79">
        <f t="shared" si="1"/>
        <v>0</v>
      </c>
      <c r="S36" s="79">
        <f t="shared" si="2"/>
        <v>40</v>
      </c>
    </row>
    <row r="37" spans="1:19" x14ac:dyDescent="0.2">
      <c r="A37" s="102" t="s">
        <v>4075</v>
      </c>
      <c r="B37" s="71" t="s">
        <v>4096</v>
      </c>
      <c r="C37" s="76">
        <v>10</v>
      </c>
      <c r="D37" s="73" t="s">
        <v>4135</v>
      </c>
      <c r="E37" s="73" t="s">
        <v>19</v>
      </c>
      <c r="F37" s="75">
        <v>42013</v>
      </c>
      <c r="G37" s="82">
        <f>198.1</f>
        <v>198.1</v>
      </c>
      <c r="H37" s="79"/>
      <c r="I37" s="79"/>
      <c r="J37" s="79"/>
      <c r="K37" s="79"/>
      <c r="L37" s="79"/>
      <c r="M37" s="79"/>
      <c r="N37" s="79"/>
      <c r="O37" s="79"/>
      <c r="P37" s="79"/>
      <c r="Q37" s="79">
        <f t="shared" si="0"/>
        <v>198.1</v>
      </c>
      <c r="R37" s="79">
        <f t="shared" si="1"/>
        <v>0</v>
      </c>
      <c r="S37" s="79">
        <f t="shared" si="2"/>
        <v>198.1</v>
      </c>
    </row>
    <row r="38" spans="1:19" x14ac:dyDescent="0.2">
      <c r="A38" s="102" t="s">
        <v>4076</v>
      </c>
      <c r="B38" s="71" t="s">
        <v>4097</v>
      </c>
      <c r="C38" s="76">
        <v>11</v>
      </c>
      <c r="D38" s="73" t="s">
        <v>4136</v>
      </c>
      <c r="E38" s="73" t="s">
        <v>19</v>
      </c>
      <c r="F38" s="75">
        <v>42014</v>
      </c>
      <c r="G38" s="82">
        <f>222.8</f>
        <v>222.8</v>
      </c>
      <c r="H38" s="79"/>
      <c r="I38" s="79"/>
      <c r="J38" s="79"/>
      <c r="K38" s="79"/>
      <c r="L38" s="79"/>
      <c r="M38" s="79"/>
      <c r="N38" s="79"/>
      <c r="O38" s="79"/>
      <c r="P38" s="79"/>
      <c r="Q38" s="79">
        <f t="shared" si="0"/>
        <v>222.8</v>
      </c>
      <c r="R38" s="79">
        <f t="shared" si="1"/>
        <v>0</v>
      </c>
      <c r="S38" s="79">
        <f t="shared" si="2"/>
        <v>222.8</v>
      </c>
    </row>
    <row r="39" spans="1:19" x14ac:dyDescent="0.2">
      <c r="A39" s="102" t="s">
        <v>4077</v>
      </c>
      <c r="B39" s="71" t="s">
        <v>4098</v>
      </c>
      <c r="C39" s="76">
        <v>12</v>
      </c>
      <c r="D39" s="73" t="s">
        <v>4137</v>
      </c>
      <c r="E39" s="73" t="s">
        <v>19</v>
      </c>
      <c r="F39" s="75">
        <v>42016</v>
      </c>
      <c r="G39" s="82">
        <f>40</f>
        <v>40</v>
      </c>
      <c r="H39" s="79"/>
      <c r="I39" s="79"/>
      <c r="J39" s="79"/>
      <c r="K39" s="79"/>
      <c r="L39" s="79"/>
      <c r="M39" s="79"/>
      <c r="N39" s="79"/>
      <c r="O39" s="79"/>
      <c r="P39" s="79"/>
      <c r="Q39" s="79">
        <f t="shared" si="0"/>
        <v>40</v>
      </c>
      <c r="R39" s="79">
        <f t="shared" si="1"/>
        <v>0</v>
      </c>
      <c r="S39" s="79">
        <f t="shared" si="2"/>
        <v>40</v>
      </c>
    </row>
    <row r="40" spans="1:19" x14ac:dyDescent="0.2">
      <c r="A40" s="102" t="s">
        <v>4078</v>
      </c>
      <c r="B40" s="71" t="s">
        <v>4099</v>
      </c>
      <c r="C40" s="76">
        <v>13</v>
      </c>
      <c r="D40" s="73" t="s">
        <v>4138</v>
      </c>
      <c r="E40" s="73" t="s">
        <v>19</v>
      </c>
      <c r="F40" s="75">
        <v>42016</v>
      </c>
      <c r="G40" s="82">
        <f>238+362.5</f>
        <v>600.5</v>
      </c>
      <c r="H40" s="79"/>
      <c r="I40" s="79"/>
      <c r="J40" s="79"/>
      <c r="K40" s="79"/>
      <c r="L40" s="79"/>
      <c r="M40" s="79"/>
      <c r="N40" s="79"/>
      <c r="O40" s="79"/>
      <c r="P40" s="79"/>
      <c r="Q40" s="79">
        <f t="shared" si="0"/>
        <v>600.5</v>
      </c>
      <c r="R40" s="79">
        <f t="shared" si="1"/>
        <v>0</v>
      </c>
      <c r="S40" s="79">
        <f t="shared" si="2"/>
        <v>600.5</v>
      </c>
    </row>
    <row r="41" spans="1:19" x14ac:dyDescent="0.2">
      <c r="A41" s="102" t="s">
        <v>4079</v>
      </c>
      <c r="B41" s="71" t="s">
        <v>4100</v>
      </c>
      <c r="C41" s="76">
        <v>14</v>
      </c>
      <c r="D41" s="73" t="s">
        <v>4139</v>
      </c>
      <c r="E41" s="73" t="s">
        <v>19</v>
      </c>
      <c r="F41" s="75">
        <v>42016</v>
      </c>
      <c r="G41" s="82">
        <f>119.8</f>
        <v>119.8</v>
      </c>
      <c r="H41" s="79"/>
      <c r="I41" s="79"/>
      <c r="J41" s="79"/>
      <c r="K41" s="79"/>
      <c r="L41" s="79"/>
      <c r="M41" s="79"/>
      <c r="N41" s="79"/>
      <c r="O41" s="79"/>
      <c r="P41" s="79"/>
      <c r="Q41" s="79">
        <f t="shared" si="0"/>
        <v>119.8</v>
      </c>
      <c r="R41" s="79">
        <f t="shared" si="1"/>
        <v>0</v>
      </c>
      <c r="S41" s="79">
        <f t="shared" si="2"/>
        <v>119.8</v>
      </c>
    </row>
    <row r="42" spans="1:19" x14ac:dyDescent="0.2">
      <c r="A42" s="102" t="s">
        <v>4080</v>
      </c>
      <c r="B42" s="71" t="s">
        <v>4101</v>
      </c>
      <c r="C42" s="76">
        <v>15</v>
      </c>
      <c r="D42" s="73" t="s">
        <v>4140</v>
      </c>
      <c r="E42" s="73" t="s">
        <v>19</v>
      </c>
      <c r="F42" s="75">
        <v>42016</v>
      </c>
      <c r="G42" s="82"/>
      <c r="H42" s="79"/>
      <c r="I42" s="79"/>
      <c r="J42" s="79"/>
      <c r="K42" s="79"/>
      <c r="L42" s="79"/>
      <c r="M42" s="79"/>
      <c r="N42" s="79"/>
      <c r="O42" s="79"/>
      <c r="P42" s="79"/>
      <c r="Q42" s="79">
        <f t="shared" si="0"/>
        <v>0</v>
      </c>
      <c r="R42" s="79">
        <f t="shared" si="1"/>
        <v>0</v>
      </c>
      <c r="S42" s="79">
        <f t="shared" si="2"/>
        <v>0</v>
      </c>
    </row>
    <row r="43" spans="1:19" x14ac:dyDescent="0.2">
      <c r="A43" s="102" t="s">
        <v>4081</v>
      </c>
      <c r="B43" s="71" t="s">
        <v>4102</v>
      </c>
      <c r="C43" s="76">
        <v>16</v>
      </c>
      <c r="D43" s="73" t="s">
        <v>4141</v>
      </c>
      <c r="E43" s="73" t="s">
        <v>19</v>
      </c>
      <c r="F43" s="75">
        <v>42016</v>
      </c>
      <c r="G43" s="82">
        <f>143.5</f>
        <v>143.5</v>
      </c>
      <c r="H43" s="79"/>
      <c r="I43" s="79"/>
      <c r="J43" s="79"/>
      <c r="K43" s="79"/>
      <c r="L43" s="79"/>
      <c r="M43" s="79"/>
      <c r="N43" s="79"/>
      <c r="O43" s="79"/>
      <c r="P43" s="79"/>
      <c r="Q43" s="79">
        <f t="shared" si="0"/>
        <v>143.5</v>
      </c>
      <c r="R43" s="79">
        <f t="shared" si="1"/>
        <v>0</v>
      </c>
      <c r="S43" s="79">
        <f t="shared" si="2"/>
        <v>143.5</v>
      </c>
    </row>
    <row r="44" spans="1:19" x14ac:dyDescent="0.2">
      <c r="A44" s="102" t="s">
        <v>4081</v>
      </c>
      <c r="B44" s="71" t="s">
        <v>4102</v>
      </c>
      <c r="C44" s="76">
        <v>16</v>
      </c>
      <c r="D44" s="73" t="s">
        <v>4142</v>
      </c>
      <c r="E44" s="73" t="s">
        <v>19</v>
      </c>
      <c r="F44" s="75">
        <v>42016</v>
      </c>
      <c r="G44" s="82">
        <f>133</f>
        <v>133</v>
      </c>
      <c r="H44" s="79"/>
      <c r="I44" s="79"/>
      <c r="J44" s="79"/>
      <c r="K44" s="79"/>
      <c r="L44" s="79"/>
      <c r="M44" s="79"/>
      <c r="N44" s="79"/>
      <c r="O44" s="79"/>
      <c r="P44" s="79"/>
      <c r="Q44" s="79">
        <f t="shared" si="0"/>
        <v>133</v>
      </c>
      <c r="R44" s="79">
        <f t="shared" si="1"/>
        <v>0</v>
      </c>
      <c r="S44" s="79">
        <f t="shared" si="2"/>
        <v>133</v>
      </c>
    </row>
    <row r="45" spans="1:19" x14ac:dyDescent="0.2">
      <c r="A45" s="102" t="s">
        <v>4082</v>
      </c>
      <c r="B45" s="71" t="s">
        <v>4103</v>
      </c>
      <c r="C45" s="76">
        <v>17</v>
      </c>
      <c r="D45" s="73" t="s">
        <v>4143</v>
      </c>
      <c r="E45" s="73" t="s">
        <v>4064</v>
      </c>
      <c r="F45" s="75">
        <v>42016</v>
      </c>
      <c r="G45" s="82"/>
      <c r="H45" s="79"/>
      <c r="I45" s="79"/>
      <c r="J45" s="79"/>
      <c r="K45" s="79"/>
      <c r="L45" s="79"/>
      <c r="M45" s="79"/>
      <c r="N45" s="79"/>
      <c r="O45" s="79"/>
      <c r="P45" s="79"/>
      <c r="Q45" s="79">
        <f t="shared" si="0"/>
        <v>0</v>
      </c>
      <c r="R45" s="79">
        <f t="shared" si="1"/>
        <v>0</v>
      </c>
      <c r="S45" s="79">
        <f t="shared" si="2"/>
        <v>0</v>
      </c>
    </row>
    <row r="46" spans="1:19" x14ac:dyDescent="0.2">
      <c r="A46" s="102" t="s">
        <v>4083</v>
      </c>
      <c r="B46" s="71" t="s">
        <v>4104</v>
      </c>
      <c r="C46" s="76">
        <v>18</v>
      </c>
      <c r="D46" s="73" t="s">
        <v>4144</v>
      </c>
      <c r="E46" s="73" t="s">
        <v>19</v>
      </c>
      <c r="F46" s="75">
        <v>42017</v>
      </c>
      <c r="G46" s="82">
        <f>388.99</f>
        <v>388.99</v>
      </c>
      <c r="H46" s="79"/>
      <c r="I46" s="79"/>
      <c r="J46" s="79"/>
      <c r="K46" s="79"/>
      <c r="L46" s="79"/>
      <c r="M46" s="79"/>
      <c r="N46" s="79"/>
      <c r="O46" s="79"/>
      <c r="P46" s="79"/>
      <c r="Q46" s="79">
        <f t="shared" si="0"/>
        <v>388.99</v>
      </c>
      <c r="R46" s="79">
        <f t="shared" si="1"/>
        <v>0</v>
      </c>
      <c r="S46" s="79">
        <f t="shared" si="2"/>
        <v>388.99</v>
      </c>
    </row>
    <row r="47" spans="1:19" x14ac:dyDescent="0.2">
      <c r="A47" s="102" t="s">
        <v>4553</v>
      </c>
      <c r="B47" s="71" t="s">
        <v>4105</v>
      </c>
      <c r="C47" s="76">
        <v>19</v>
      </c>
      <c r="D47" s="73" t="s">
        <v>4145</v>
      </c>
      <c r="E47" s="73" t="s">
        <v>19</v>
      </c>
      <c r="F47" s="75">
        <v>42020</v>
      </c>
      <c r="G47" s="82">
        <f>47.2+134.53+102.52</f>
        <v>284.25</v>
      </c>
      <c r="H47" s="79"/>
      <c r="I47" s="79">
        <v>850</v>
      </c>
      <c r="J47" s="79"/>
      <c r="K47" s="79"/>
      <c r="L47" s="79"/>
      <c r="M47" s="79"/>
      <c r="N47" s="79"/>
      <c r="O47" s="79"/>
      <c r="P47" s="79"/>
      <c r="Q47" s="79">
        <f t="shared" si="0"/>
        <v>1134.25</v>
      </c>
      <c r="R47" s="79">
        <f t="shared" si="1"/>
        <v>0</v>
      </c>
      <c r="S47" s="79">
        <f t="shared" si="2"/>
        <v>1134.25</v>
      </c>
    </row>
    <row r="48" spans="1:19" x14ac:dyDescent="0.2">
      <c r="A48" s="102" t="s">
        <v>4084</v>
      </c>
      <c r="B48" s="71" t="s">
        <v>4106</v>
      </c>
      <c r="C48" s="76">
        <v>20</v>
      </c>
      <c r="D48" s="73" t="s">
        <v>4146</v>
      </c>
      <c r="E48" s="73" t="s">
        <v>19</v>
      </c>
      <c r="F48" s="75">
        <v>42009</v>
      </c>
      <c r="G48" s="82">
        <v>117.7</v>
      </c>
      <c r="H48" s="79"/>
      <c r="I48" s="79"/>
      <c r="J48" s="79"/>
      <c r="K48" s="79"/>
      <c r="L48" s="79"/>
      <c r="M48" s="79"/>
      <c r="N48" s="79"/>
      <c r="O48" s="79"/>
      <c r="P48" s="79"/>
      <c r="Q48" s="79">
        <f t="shared" si="0"/>
        <v>117.7</v>
      </c>
      <c r="R48" s="79">
        <f t="shared" si="1"/>
        <v>0</v>
      </c>
      <c r="S48" s="79">
        <f t="shared" si="2"/>
        <v>117.7</v>
      </c>
    </row>
    <row r="49" spans="1:19" x14ac:dyDescent="0.2">
      <c r="A49" s="102" t="s">
        <v>4085</v>
      </c>
      <c r="B49" s="71" t="s">
        <v>4107</v>
      </c>
      <c r="C49" s="76">
        <v>21</v>
      </c>
      <c r="D49" s="73" t="s">
        <v>4147</v>
      </c>
      <c r="E49" s="73" t="s">
        <v>19</v>
      </c>
      <c r="F49" s="75">
        <v>42009</v>
      </c>
      <c r="G49" s="82"/>
      <c r="H49" s="79"/>
      <c r="I49" s="79"/>
      <c r="J49" s="79"/>
      <c r="K49" s="79"/>
      <c r="L49" s="79"/>
      <c r="M49" s="79"/>
      <c r="N49" s="79"/>
      <c r="O49" s="79"/>
      <c r="P49" s="79"/>
      <c r="Q49" s="79">
        <f t="shared" si="0"/>
        <v>0</v>
      </c>
      <c r="R49" s="79">
        <f t="shared" si="1"/>
        <v>0</v>
      </c>
      <c r="S49" s="79">
        <f t="shared" si="2"/>
        <v>0</v>
      </c>
    </row>
    <row r="50" spans="1:19" x14ac:dyDescent="0.2">
      <c r="A50" s="102" t="s">
        <v>4085</v>
      </c>
      <c r="B50" s="71" t="s">
        <v>4107</v>
      </c>
      <c r="C50" s="76">
        <v>21</v>
      </c>
      <c r="D50" s="73" t="s">
        <v>4148</v>
      </c>
      <c r="E50" s="73" t="s">
        <v>19</v>
      </c>
      <c r="F50" s="75">
        <v>42009</v>
      </c>
      <c r="G50" s="82">
        <v>75</v>
      </c>
      <c r="H50" s="79"/>
      <c r="I50" s="79"/>
      <c r="J50" s="79"/>
      <c r="K50" s="79"/>
      <c r="L50" s="79"/>
      <c r="M50" s="79"/>
      <c r="N50" s="79"/>
      <c r="O50" s="79"/>
      <c r="P50" s="79"/>
      <c r="Q50" s="79">
        <f t="shared" si="0"/>
        <v>75</v>
      </c>
      <c r="R50" s="79">
        <f t="shared" si="1"/>
        <v>0</v>
      </c>
      <c r="S50" s="79">
        <f t="shared" si="2"/>
        <v>75</v>
      </c>
    </row>
    <row r="51" spans="1:19" x14ac:dyDescent="0.2">
      <c r="A51" s="102" t="s">
        <v>4086</v>
      </c>
      <c r="B51" s="71" t="s">
        <v>4108</v>
      </c>
      <c r="C51" s="76">
        <v>22</v>
      </c>
      <c r="D51" s="73" t="s">
        <v>4149</v>
      </c>
      <c r="E51" s="73" t="s">
        <v>19</v>
      </c>
      <c r="F51" s="75">
        <v>42021</v>
      </c>
      <c r="G51" s="82">
        <f>120.5</f>
        <v>120.5</v>
      </c>
      <c r="H51" s="79"/>
      <c r="I51" s="79"/>
      <c r="J51" s="79"/>
      <c r="K51" s="79"/>
      <c r="L51" s="79"/>
      <c r="M51" s="79"/>
      <c r="N51" s="79"/>
      <c r="O51" s="79"/>
      <c r="P51" s="79"/>
      <c r="Q51" s="79">
        <f t="shared" si="0"/>
        <v>120.5</v>
      </c>
      <c r="R51" s="79">
        <f t="shared" si="1"/>
        <v>0</v>
      </c>
      <c r="S51" s="79">
        <f t="shared" si="2"/>
        <v>120.5</v>
      </c>
    </row>
    <row r="52" spans="1:19" x14ac:dyDescent="0.2">
      <c r="A52" s="102" t="s">
        <v>4188</v>
      </c>
      <c r="B52" s="71" t="s">
        <v>4203</v>
      </c>
      <c r="C52" s="76">
        <v>23</v>
      </c>
      <c r="D52" s="73" t="s">
        <v>4217</v>
      </c>
      <c r="E52" s="73" t="s">
        <v>19</v>
      </c>
      <c r="F52" s="75">
        <v>42021</v>
      </c>
      <c r="G52" s="82">
        <f>131.43</f>
        <v>131.43</v>
      </c>
      <c r="H52" s="79"/>
      <c r="I52" s="79"/>
      <c r="J52" s="79"/>
      <c r="K52" s="79"/>
      <c r="L52" s="79"/>
      <c r="M52" s="79"/>
      <c r="N52" s="79"/>
      <c r="O52" s="79"/>
      <c r="P52" s="79"/>
      <c r="Q52" s="79">
        <f t="shared" si="0"/>
        <v>131.43</v>
      </c>
      <c r="R52" s="79">
        <f t="shared" si="1"/>
        <v>0</v>
      </c>
      <c r="S52" s="79">
        <f t="shared" si="2"/>
        <v>131.43</v>
      </c>
    </row>
    <row r="53" spans="1:19" x14ac:dyDescent="0.2">
      <c r="A53" s="102" t="s">
        <v>4189</v>
      </c>
      <c r="B53" s="71" t="s">
        <v>4204</v>
      </c>
      <c r="C53" s="76">
        <v>24</v>
      </c>
      <c r="D53" s="73" t="s">
        <v>4218</v>
      </c>
      <c r="E53" s="73" t="s">
        <v>19</v>
      </c>
      <c r="F53" s="75">
        <v>42023</v>
      </c>
      <c r="G53" s="82">
        <f>88.41+47.2</f>
        <v>135.61000000000001</v>
      </c>
      <c r="H53" s="79"/>
      <c r="I53" s="79"/>
      <c r="J53" s="79"/>
      <c r="K53" s="79"/>
      <c r="L53" s="79"/>
      <c r="M53" s="79"/>
      <c r="N53" s="79"/>
      <c r="O53" s="79"/>
      <c r="P53" s="79"/>
      <c r="Q53" s="79">
        <f t="shared" si="0"/>
        <v>135.61000000000001</v>
      </c>
      <c r="R53" s="79">
        <f t="shared" si="1"/>
        <v>0</v>
      </c>
      <c r="S53" s="79">
        <f t="shared" si="2"/>
        <v>135.61000000000001</v>
      </c>
    </row>
    <row r="54" spans="1:19" x14ac:dyDescent="0.2">
      <c r="A54" s="102" t="s">
        <v>4190</v>
      </c>
      <c r="B54" s="71" t="s">
        <v>4205</v>
      </c>
      <c r="C54" s="76">
        <v>25</v>
      </c>
      <c r="D54" s="73" t="s">
        <v>4219</v>
      </c>
      <c r="E54" s="73" t="s">
        <v>19</v>
      </c>
      <c r="F54" s="75">
        <v>42023</v>
      </c>
      <c r="G54" s="82">
        <f>110.2+133.27+103.74+854.52</f>
        <v>1201.73</v>
      </c>
      <c r="H54" s="79"/>
      <c r="I54" s="79"/>
      <c r="J54" s="79"/>
      <c r="K54" s="79"/>
      <c r="L54" s="79"/>
      <c r="M54" s="79"/>
      <c r="N54" s="79"/>
      <c r="O54" s="79"/>
      <c r="P54" s="79"/>
      <c r="Q54" s="79">
        <f t="shared" si="0"/>
        <v>1201.73</v>
      </c>
      <c r="R54" s="79">
        <f t="shared" si="1"/>
        <v>0</v>
      </c>
      <c r="S54" s="79">
        <f t="shared" si="2"/>
        <v>1201.73</v>
      </c>
    </row>
    <row r="55" spans="1:19" x14ac:dyDescent="0.2">
      <c r="A55" s="102" t="s">
        <v>4190</v>
      </c>
      <c r="B55" s="71" t="s">
        <v>4205</v>
      </c>
      <c r="C55" s="76">
        <v>25</v>
      </c>
      <c r="D55" s="73" t="s">
        <v>4249</v>
      </c>
      <c r="E55" s="73" t="s">
        <v>19</v>
      </c>
      <c r="F55" s="75">
        <v>42023</v>
      </c>
      <c r="G55" s="82">
        <f>120.6</f>
        <v>120.6</v>
      </c>
      <c r="H55" s="79"/>
      <c r="I55" s="79"/>
      <c r="J55" s="79"/>
      <c r="K55" s="79"/>
      <c r="L55" s="79"/>
      <c r="M55" s="79"/>
      <c r="N55" s="79"/>
      <c r="O55" s="79"/>
      <c r="P55" s="79"/>
      <c r="Q55" s="79">
        <f t="shared" si="0"/>
        <v>120.6</v>
      </c>
      <c r="R55" s="79">
        <f t="shared" si="1"/>
        <v>0</v>
      </c>
      <c r="S55" s="79">
        <f t="shared" si="2"/>
        <v>120.6</v>
      </c>
    </row>
    <row r="56" spans="1:19" x14ac:dyDescent="0.2">
      <c r="A56" s="102" t="s">
        <v>4190</v>
      </c>
      <c r="B56" s="71" t="s">
        <v>4205</v>
      </c>
      <c r="C56" s="76">
        <v>25</v>
      </c>
      <c r="D56" s="73" t="s">
        <v>4250</v>
      </c>
      <c r="E56" s="73" t="s">
        <v>19</v>
      </c>
      <c r="F56" s="75">
        <v>42023</v>
      </c>
      <c r="G56" s="82">
        <f>40</f>
        <v>40</v>
      </c>
      <c r="H56" s="79"/>
      <c r="I56" s="79"/>
      <c r="J56" s="79"/>
      <c r="K56" s="79"/>
      <c r="L56" s="79"/>
      <c r="M56" s="79"/>
      <c r="N56" s="79"/>
      <c r="O56" s="79"/>
      <c r="P56" s="79"/>
      <c r="Q56" s="79">
        <f t="shared" si="0"/>
        <v>40</v>
      </c>
      <c r="R56" s="79">
        <f t="shared" si="1"/>
        <v>0</v>
      </c>
      <c r="S56" s="79">
        <f t="shared" si="2"/>
        <v>40</v>
      </c>
    </row>
    <row r="57" spans="1:19" x14ac:dyDescent="0.2">
      <c r="A57" s="102" t="s">
        <v>4190</v>
      </c>
      <c r="B57" s="71" t="s">
        <v>4205</v>
      </c>
      <c r="C57" s="76">
        <v>25</v>
      </c>
      <c r="D57" s="73" t="s">
        <v>4251</v>
      </c>
      <c r="E57" s="73" t="s">
        <v>19</v>
      </c>
      <c r="F57" s="75">
        <v>42023</v>
      </c>
      <c r="G57" s="82">
        <f>210</f>
        <v>210</v>
      </c>
      <c r="H57" s="79"/>
      <c r="I57" s="79"/>
      <c r="J57" s="79"/>
      <c r="K57" s="79"/>
      <c r="L57" s="79"/>
      <c r="M57" s="79"/>
      <c r="N57" s="79"/>
      <c r="O57" s="79"/>
      <c r="P57" s="79"/>
      <c r="Q57" s="79">
        <f t="shared" si="0"/>
        <v>210</v>
      </c>
      <c r="R57" s="79">
        <f t="shared" si="1"/>
        <v>0</v>
      </c>
      <c r="S57" s="79">
        <f t="shared" si="2"/>
        <v>210</v>
      </c>
    </row>
    <row r="58" spans="1:19" x14ac:dyDescent="0.2">
      <c r="A58" s="102" t="s">
        <v>4190</v>
      </c>
      <c r="B58" s="71" t="s">
        <v>4205</v>
      </c>
      <c r="C58" s="76">
        <v>25</v>
      </c>
      <c r="D58" s="73" t="s">
        <v>4252</v>
      </c>
      <c r="E58" s="73" t="s">
        <v>19</v>
      </c>
      <c r="F58" s="75">
        <v>42023</v>
      </c>
      <c r="G58" s="82">
        <f>116.4</f>
        <v>116.4</v>
      </c>
      <c r="H58" s="79"/>
      <c r="I58" s="79"/>
      <c r="J58" s="79"/>
      <c r="K58" s="79"/>
      <c r="L58" s="79"/>
      <c r="M58" s="79"/>
      <c r="N58" s="79"/>
      <c r="O58" s="79"/>
      <c r="P58" s="79"/>
      <c r="Q58" s="79">
        <f t="shared" si="0"/>
        <v>116.4</v>
      </c>
      <c r="R58" s="79">
        <f t="shared" si="1"/>
        <v>0</v>
      </c>
      <c r="S58" s="79">
        <f t="shared" si="2"/>
        <v>116.4</v>
      </c>
    </row>
    <row r="59" spans="1:19" x14ac:dyDescent="0.2">
      <c r="A59" s="102" t="s">
        <v>4190</v>
      </c>
      <c r="B59" s="71" t="s">
        <v>4205</v>
      </c>
      <c r="C59" s="76">
        <v>25</v>
      </c>
      <c r="D59" s="73" t="s">
        <v>4253</v>
      </c>
      <c r="E59" s="73" t="s">
        <v>19</v>
      </c>
      <c r="F59" s="75">
        <v>42023</v>
      </c>
      <c r="G59" s="82">
        <f>108</f>
        <v>108</v>
      </c>
      <c r="H59" s="79"/>
      <c r="I59" s="79"/>
      <c r="J59" s="79"/>
      <c r="K59" s="79"/>
      <c r="L59" s="79"/>
      <c r="M59" s="79"/>
      <c r="N59" s="79"/>
      <c r="O59" s="79"/>
      <c r="P59" s="79"/>
      <c r="Q59" s="79">
        <f t="shared" si="0"/>
        <v>108</v>
      </c>
      <c r="R59" s="79">
        <f t="shared" si="1"/>
        <v>0</v>
      </c>
      <c r="S59" s="79">
        <f t="shared" si="2"/>
        <v>108</v>
      </c>
    </row>
    <row r="60" spans="1:19" x14ac:dyDescent="0.2">
      <c r="A60" s="102" t="s">
        <v>4190</v>
      </c>
      <c r="B60" s="71" t="s">
        <v>4205</v>
      </c>
      <c r="C60" s="76">
        <v>25</v>
      </c>
      <c r="D60" s="73" t="s">
        <v>4254</v>
      </c>
      <c r="E60" s="73" t="s">
        <v>19</v>
      </c>
      <c r="F60" s="75">
        <v>42023</v>
      </c>
      <c r="G60" s="82">
        <f>86.4</f>
        <v>86.4</v>
      </c>
      <c r="H60" s="79"/>
      <c r="I60" s="79"/>
      <c r="J60" s="79"/>
      <c r="K60" s="79"/>
      <c r="L60" s="79"/>
      <c r="M60" s="79"/>
      <c r="N60" s="79"/>
      <c r="O60" s="79"/>
      <c r="P60" s="79"/>
      <c r="Q60" s="79">
        <f t="shared" si="0"/>
        <v>86.4</v>
      </c>
      <c r="R60" s="79">
        <f t="shared" si="1"/>
        <v>0</v>
      </c>
      <c r="S60" s="79">
        <f t="shared" si="2"/>
        <v>86.4</v>
      </c>
    </row>
    <row r="61" spans="1:19" x14ac:dyDescent="0.2">
      <c r="A61" s="102" t="s">
        <v>4190</v>
      </c>
      <c r="B61" s="71" t="s">
        <v>4205</v>
      </c>
      <c r="C61" s="76">
        <v>25</v>
      </c>
      <c r="D61" s="73" t="s">
        <v>4255</v>
      </c>
      <c r="E61" s="73" t="s">
        <v>19</v>
      </c>
      <c r="F61" s="75">
        <v>42023</v>
      </c>
      <c r="G61" s="82">
        <f>88.7</f>
        <v>88.7</v>
      </c>
      <c r="H61" s="79"/>
      <c r="I61" s="79"/>
      <c r="J61" s="79"/>
      <c r="K61" s="79"/>
      <c r="L61" s="79"/>
      <c r="M61" s="79"/>
      <c r="N61" s="79"/>
      <c r="O61" s="79"/>
      <c r="P61" s="79"/>
      <c r="Q61" s="79">
        <f t="shared" si="0"/>
        <v>88.7</v>
      </c>
      <c r="R61" s="79">
        <f t="shared" si="1"/>
        <v>0</v>
      </c>
      <c r="S61" s="79">
        <f t="shared" si="2"/>
        <v>88.7</v>
      </c>
    </row>
    <row r="62" spans="1:19" x14ac:dyDescent="0.2">
      <c r="A62" s="102" t="s">
        <v>4190</v>
      </c>
      <c r="B62" s="71" t="s">
        <v>4205</v>
      </c>
      <c r="C62" s="76">
        <v>25</v>
      </c>
      <c r="D62" s="73" t="s">
        <v>4256</v>
      </c>
      <c r="E62" s="73" t="s">
        <v>19</v>
      </c>
      <c r="F62" s="75">
        <v>42023</v>
      </c>
      <c r="G62" s="82">
        <f>170</f>
        <v>170</v>
      </c>
      <c r="H62" s="79"/>
      <c r="I62" s="79"/>
      <c r="J62" s="79"/>
      <c r="K62" s="79"/>
      <c r="L62" s="79"/>
      <c r="M62" s="79"/>
      <c r="N62" s="79"/>
      <c r="O62" s="79"/>
      <c r="P62" s="79"/>
      <c r="Q62" s="79">
        <f t="shared" si="0"/>
        <v>170</v>
      </c>
      <c r="R62" s="79">
        <f t="shared" si="1"/>
        <v>0</v>
      </c>
      <c r="S62" s="79">
        <f t="shared" si="2"/>
        <v>170</v>
      </c>
    </row>
    <row r="63" spans="1:19" x14ac:dyDescent="0.2">
      <c r="A63" s="102" t="s">
        <v>4191</v>
      </c>
      <c r="B63" s="71" t="s">
        <v>470</v>
      </c>
      <c r="C63" s="76">
        <v>26</v>
      </c>
      <c r="D63" s="73" t="s">
        <v>4220</v>
      </c>
      <c r="E63" s="73" t="s">
        <v>19</v>
      </c>
      <c r="F63" s="75">
        <v>42025</v>
      </c>
      <c r="G63" s="82">
        <f>139.9</f>
        <v>139.9</v>
      </c>
      <c r="H63" s="79"/>
      <c r="I63" s="79"/>
      <c r="J63" s="79"/>
      <c r="K63" s="79"/>
      <c r="L63" s="79"/>
      <c r="M63" s="79"/>
      <c r="N63" s="79"/>
      <c r="O63" s="79"/>
      <c r="P63" s="79"/>
      <c r="Q63" s="79">
        <f t="shared" si="0"/>
        <v>139.9</v>
      </c>
      <c r="R63" s="79">
        <f t="shared" si="1"/>
        <v>0</v>
      </c>
      <c r="S63" s="79">
        <f t="shared" si="2"/>
        <v>139.9</v>
      </c>
    </row>
    <row r="64" spans="1:19" x14ac:dyDescent="0.2">
      <c r="A64" s="102" t="s">
        <v>4192</v>
      </c>
      <c r="B64" s="71" t="s">
        <v>4206</v>
      </c>
      <c r="C64" s="76">
        <v>27</v>
      </c>
      <c r="D64" s="73" t="s">
        <v>4221</v>
      </c>
      <c r="E64" s="73" t="s">
        <v>19</v>
      </c>
      <c r="F64" s="75">
        <v>42025</v>
      </c>
      <c r="G64" s="82">
        <f>330.6+31.2+98</f>
        <v>459.8</v>
      </c>
      <c r="H64" s="79"/>
      <c r="I64" s="79"/>
      <c r="J64" s="79"/>
      <c r="K64" s="79"/>
      <c r="L64" s="79"/>
      <c r="M64" s="79"/>
      <c r="N64" s="79"/>
      <c r="O64" s="79"/>
      <c r="P64" s="79"/>
      <c r="Q64" s="79">
        <f t="shared" si="0"/>
        <v>459.8</v>
      </c>
      <c r="R64" s="79">
        <f t="shared" si="1"/>
        <v>0</v>
      </c>
      <c r="S64" s="79">
        <f t="shared" si="2"/>
        <v>459.8</v>
      </c>
    </row>
    <row r="65" spans="1:19" x14ac:dyDescent="0.2">
      <c r="A65" s="102" t="s">
        <v>4193</v>
      </c>
      <c r="B65" s="71" t="s">
        <v>4207</v>
      </c>
      <c r="C65" s="76">
        <v>28</v>
      </c>
      <c r="D65" s="73" t="s">
        <v>4222</v>
      </c>
      <c r="E65" s="73" t="s">
        <v>19</v>
      </c>
      <c r="F65" s="75">
        <v>42027</v>
      </c>
      <c r="G65" s="82">
        <f>237.2+47.94+70</f>
        <v>355.14</v>
      </c>
      <c r="H65" s="79"/>
      <c r="I65" s="79">
        <f>750/30*5</f>
        <v>125</v>
      </c>
      <c r="J65" s="79"/>
      <c r="K65" s="79"/>
      <c r="L65" s="79"/>
      <c r="M65" s="79"/>
      <c r="N65" s="79"/>
      <c r="O65" s="79"/>
      <c r="P65" s="79"/>
      <c r="Q65" s="79">
        <f t="shared" si="0"/>
        <v>480.14</v>
      </c>
      <c r="R65" s="79">
        <f t="shared" si="1"/>
        <v>0</v>
      </c>
      <c r="S65" s="79">
        <f t="shared" si="2"/>
        <v>480.14</v>
      </c>
    </row>
    <row r="66" spans="1:19" x14ac:dyDescent="0.2">
      <c r="A66" s="102" t="s">
        <v>4194</v>
      </c>
      <c r="B66" s="71" t="s">
        <v>4208</v>
      </c>
      <c r="C66" s="76">
        <v>29</v>
      </c>
      <c r="D66" s="73" t="s">
        <v>4223</v>
      </c>
      <c r="E66" s="73" t="s">
        <v>4244</v>
      </c>
      <c r="F66" s="75">
        <v>42030</v>
      </c>
      <c r="G66" s="82">
        <f>480+3842.38</f>
        <v>4322.38</v>
      </c>
      <c r="H66" s="79"/>
      <c r="I66" s="79"/>
      <c r="J66" s="79"/>
      <c r="K66" s="79"/>
      <c r="L66" s="79"/>
      <c r="M66" s="79"/>
      <c r="N66" s="79"/>
      <c r="O66" s="79"/>
      <c r="P66" s="79"/>
      <c r="Q66" s="79">
        <f t="shared" si="0"/>
        <v>4322.38</v>
      </c>
      <c r="R66" s="79">
        <f t="shared" si="1"/>
        <v>0</v>
      </c>
      <c r="S66" s="79">
        <f t="shared" si="2"/>
        <v>4322.38</v>
      </c>
    </row>
    <row r="67" spans="1:19" x14ac:dyDescent="0.2">
      <c r="A67" s="102" t="s">
        <v>4194</v>
      </c>
      <c r="B67" s="71" t="s">
        <v>4208</v>
      </c>
      <c r="C67" s="76">
        <v>29</v>
      </c>
      <c r="D67" s="73" t="s">
        <v>4224</v>
      </c>
      <c r="E67" s="73" t="s">
        <v>4244</v>
      </c>
      <c r="F67" s="75">
        <v>42030</v>
      </c>
      <c r="G67" s="82"/>
      <c r="H67" s="79"/>
      <c r="I67" s="79"/>
      <c r="J67" s="79"/>
      <c r="K67" s="79"/>
      <c r="L67" s="79"/>
      <c r="M67" s="79"/>
      <c r="N67" s="79"/>
      <c r="O67" s="79"/>
      <c r="P67" s="79"/>
      <c r="Q67" s="79">
        <f t="shared" si="0"/>
        <v>0</v>
      </c>
      <c r="R67" s="79">
        <f t="shared" si="1"/>
        <v>0</v>
      </c>
      <c r="S67" s="79">
        <f t="shared" si="2"/>
        <v>0</v>
      </c>
    </row>
    <row r="68" spans="1:19" x14ac:dyDescent="0.2">
      <c r="A68" s="102" t="s">
        <v>4194</v>
      </c>
      <c r="B68" s="71" t="s">
        <v>4208</v>
      </c>
      <c r="C68" s="76">
        <v>29</v>
      </c>
      <c r="D68" s="73" t="s">
        <v>4225</v>
      </c>
      <c r="E68" s="73" t="s">
        <v>4244</v>
      </c>
      <c r="F68" s="75">
        <v>42030</v>
      </c>
      <c r="G68" s="82"/>
      <c r="H68" s="79"/>
      <c r="I68" s="79"/>
      <c r="J68" s="79"/>
      <c r="K68" s="79"/>
      <c r="L68" s="79"/>
      <c r="M68" s="79"/>
      <c r="N68" s="79"/>
      <c r="O68" s="79"/>
      <c r="P68" s="79"/>
      <c r="Q68" s="79">
        <f t="shared" si="0"/>
        <v>0</v>
      </c>
      <c r="R68" s="79">
        <f t="shared" si="1"/>
        <v>0</v>
      </c>
      <c r="S68" s="79">
        <f t="shared" si="2"/>
        <v>0</v>
      </c>
    </row>
    <row r="69" spans="1:19" x14ac:dyDescent="0.2">
      <c r="A69" s="102" t="s">
        <v>4195</v>
      </c>
      <c r="B69" s="71" t="s">
        <v>4209</v>
      </c>
      <c r="C69" s="76">
        <v>30</v>
      </c>
      <c r="D69" s="73" t="s">
        <v>4226</v>
      </c>
      <c r="E69" s="73" t="s">
        <v>4244</v>
      </c>
      <c r="F69" s="75">
        <v>42031</v>
      </c>
      <c r="G69" s="82">
        <f>107</f>
        <v>107</v>
      </c>
      <c r="H69" s="79"/>
      <c r="I69" s="79"/>
      <c r="J69" s="79"/>
      <c r="K69" s="79"/>
      <c r="L69" s="79"/>
      <c r="M69" s="79"/>
      <c r="N69" s="79"/>
      <c r="O69" s="79"/>
      <c r="P69" s="79"/>
      <c r="Q69" s="79">
        <f t="shared" si="0"/>
        <v>107</v>
      </c>
      <c r="R69" s="79">
        <f t="shared" si="1"/>
        <v>0</v>
      </c>
      <c r="S69" s="79">
        <f t="shared" si="2"/>
        <v>107</v>
      </c>
    </row>
    <row r="70" spans="1:19" x14ac:dyDescent="0.2">
      <c r="A70" s="102" t="s">
        <v>4196</v>
      </c>
      <c r="B70" s="71" t="s">
        <v>4210</v>
      </c>
      <c r="C70" s="76">
        <v>31</v>
      </c>
      <c r="D70" s="73" t="s">
        <v>4227</v>
      </c>
      <c r="E70" s="73" t="s">
        <v>4244</v>
      </c>
      <c r="F70" s="75">
        <v>42031</v>
      </c>
      <c r="G70" s="82">
        <f>41.1</f>
        <v>41.1</v>
      </c>
      <c r="H70" s="79"/>
      <c r="I70" s="79"/>
      <c r="J70" s="79"/>
      <c r="K70" s="79"/>
      <c r="L70" s="79"/>
      <c r="M70" s="79"/>
      <c r="N70" s="79"/>
      <c r="O70" s="79"/>
      <c r="P70" s="79"/>
      <c r="Q70" s="79">
        <f t="shared" si="0"/>
        <v>41.1</v>
      </c>
      <c r="R70" s="79">
        <f t="shared" si="1"/>
        <v>0</v>
      </c>
      <c r="S70" s="79">
        <f t="shared" si="2"/>
        <v>41.1</v>
      </c>
    </row>
    <row r="71" spans="1:19" x14ac:dyDescent="0.2">
      <c r="A71" s="102" t="s">
        <v>4196</v>
      </c>
      <c r="B71" s="71" t="s">
        <v>4210</v>
      </c>
      <c r="C71" s="76">
        <v>31</v>
      </c>
      <c r="D71" s="73" t="s">
        <v>4228</v>
      </c>
      <c r="E71" s="73" t="s">
        <v>4244</v>
      </c>
      <c r="F71" s="75">
        <v>42031</v>
      </c>
      <c r="G71" s="82">
        <f>109</f>
        <v>109</v>
      </c>
      <c r="H71" s="79"/>
      <c r="I71" s="79"/>
      <c r="J71" s="79"/>
      <c r="K71" s="79"/>
      <c r="L71" s="79"/>
      <c r="M71" s="79"/>
      <c r="N71" s="79"/>
      <c r="O71" s="79"/>
      <c r="P71" s="79"/>
      <c r="Q71" s="79">
        <f t="shared" si="0"/>
        <v>109</v>
      </c>
      <c r="R71" s="79">
        <f t="shared" si="1"/>
        <v>0</v>
      </c>
      <c r="S71" s="79">
        <f t="shared" si="2"/>
        <v>109</v>
      </c>
    </row>
    <row r="72" spans="1:19" x14ac:dyDescent="0.2">
      <c r="A72" s="102" t="s">
        <v>4196</v>
      </c>
      <c r="B72" s="71" t="s">
        <v>4210</v>
      </c>
      <c r="C72" s="76">
        <v>31</v>
      </c>
      <c r="D72" s="73" t="s">
        <v>4229</v>
      </c>
      <c r="E72" s="73" t="s">
        <v>4244</v>
      </c>
      <c r="F72" s="75">
        <v>42031</v>
      </c>
      <c r="G72" s="82">
        <f>230.6</f>
        <v>230.6</v>
      </c>
      <c r="H72" s="79"/>
      <c r="I72" s="79"/>
      <c r="J72" s="79"/>
      <c r="K72" s="79"/>
      <c r="L72" s="79"/>
      <c r="M72" s="79"/>
      <c r="N72" s="79"/>
      <c r="O72" s="79"/>
      <c r="P72" s="79"/>
      <c r="Q72" s="79">
        <f t="shared" si="0"/>
        <v>230.6</v>
      </c>
      <c r="R72" s="79">
        <f t="shared" si="1"/>
        <v>0</v>
      </c>
      <c r="S72" s="79">
        <f t="shared" si="2"/>
        <v>230.6</v>
      </c>
    </row>
    <row r="73" spans="1:19" x14ac:dyDescent="0.2">
      <c r="A73" s="102" t="s">
        <v>4197</v>
      </c>
      <c r="B73" s="71" t="s">
        <v>4211</v>
      </c>
      <c r="C73" s="76">
        <v>32</v>
      </c>
      <c r="D73" s="73" t="s">
        <v>4230</v>
      </c>
      <c r="E73" s="73" t="s">
        <v>4244</v>
      </c>
      <c r="F73" s="75">
        <v>42031</v>
      </c>
      <c r="G73" s="82">
        <f>164.79</f>
        <v>164.79</v>
      </c>
      <c r="H73" s="79"/>
      <c r="I73" s="79"/>
      <c r="J73" s="79"/>
      <c r="K73" s="79"/>
      <c r="L73" s="79"/>
      <c r="M73" s="79"/>
      <c r="N73" s="79"/>
      <c r="O73" s="79"/>
      <c r="P73" s="79"/>
      <c r="Q73" s="79">
        <f t="shared" ref="Q73:Q136" si="3">+G73+I73+K73+M73+O73</f>
        <v>164.79</v>
      </c>
      <c r="R73" s="79">
        <f t="shared" ref="R73:R136" si="4">+H73+J73+L73+N73+P73</f>
        <v>0</v>
      </c>
      <c r="S73" s="79">
        <f t="shared" ref="S73:S136" si="5">+Q73+R73</f>
        <v>164.79</v>
      </c>
    </row>
    <row r="74" spans="1:19" x14ac:dyDescent="0.2">
      <c r="A74" s="102" t="s">
        <v>4198</v>
      </c>
      <c r="B74" s="71" t="s">
        <v>4212</v>
      </c>
      <c r="C74" s="76">
        <v>33</v>
      </c>
      <c r="D74" s="73" t="s">
        <v>4231</v>
      </c>
      <c r="E74" s="73" t="s">
        <v>4244</v>
      </c>
      <c r="F74" s="75">
        <v>42032</v>
      </c>
      <c r="G74" s="82">
        <f>322.9+194.53+140.84+435.32+348.1+112.35+6.37+47.2+436.6+64.9+308.39+80</f>
        <v>2497.5</v>
      </c>
      <c r="H74" s="79"/>
      <c r="I74" s="79">
        <f>1425</f>
        <v>1425</v>
      </c>
      <c r="J74" s="79"/>
      <c r="K74" s="79"/>
      <c r="L74" s="79"/>
      <c r="M74" s="79"/>
      <c r="N74" s="79"/>
      <c r="O74" s="79"/>
      <c r="P74" s="79"/>
      <c r="Q74" s="79">
        <f t="shared" si="3"/>
        <v>3922.5</v>
      </c>
      <c r="R74" s="79">
        <f t="shared" si="4"/>
        <v>0</v>
      </c>
      <c r="S74" s="79">
        <f t="shared" si="5"/>
        <v>3922.5</v>
      </c>
    </row>
    <row r="75" spans="1:19" x14ac:dyDescent="0.2">
      <c r="A75" s="102" t="s">
        <v>4197</v>
      </c>
      <c r="B75" s="71" t="s">
        <v>4211</v>
      </c>
      <c r="C75" s="76">
        <v>34</v>
      </c>
      <c r="D75" s="73" t="s">
        <v>4232</v>
      </c>
      <c r="E75" s="73" t="s">
        <v>19</v>
      </c>
      <c r="F75" s="75">
        <v>42031</v>
      </c>
      <c r="G75" s="82">
        <f>95.93</f>
        <v>95.93</v>
      </c>
      <c r="H75" s="79"/>
      <c r="I75" s="79"/>
      <c r="J75" s="79"/>
      <c r="K75" s="79"/>
      <c r="L75" s="79"/>
      <c r="M75" s="79"/>
      <c r="N75" s="79"/>
      <c r="O75" s="79"/>
      <c r="P75" s="79"/>
      <c r="Q75" s="79">
        <f t="shared" si="3"/>
        <v>95.93</v>
      </c>
      <c r="R75" s="79">
        <f t="shared" si="4"/>
        <v>0</v>
      </c>
      <c r="S75" s="79">
        <f t="shared" si="5"/>
        <v>95.93</v>
      </c>
    </row>
    <row r="76" spans="1:19" x14ac:dyDescent="0.2">
      <c r="A76" s="102" t="s">
        <v>4193</v>
      </c>
      <c r="B76" s="71" t="s">
        <v>4207</v>
      </c>
      <c r="C76" s="76">
        <v>35</v>
      </c>
      <c r="D76" s="73" t="s">
        <v>4233</v>
      </c>
      <c r="E76" s="73" t="s">
        <v>19</v>
      </c>
      <c r="F76" s="75">
        <v>42033</v>
      </c>
      <c r="G76" s="82">
        <v>145.65</v>
      </c>
      <c r="H76" s="79"/>
      <c r="I76" s="79"/>
      <c r="J76" s="79"/>
      <c r="K76" s="79"/>
      <c r="L76" s="79"/>
      <c r="M76" s="79"/>
      <c r="N76" s="79"/>
      <c r="O76" s="79"/>
      <c r="P76" s="79"/>
      <c r="Q76" s="79">
        <f t="shared" si="3"/>
        <v>145.65</v>
      </c>
      <c r="R76" s="79">
        <f t="shared" si="4"/>
        <v>0</v>
      </c>
      <c r="S76" s="79">
        <f t="shared" si="5"/>
        <v>145.65</v>
      </c>
    </row>
    <row r="77" spans="1:19" x14ac:dyDescent="0.2">
      <c r="A77" s="102" t="s">
        <v>4193</v>
      </c>
      <c r="B77" s="71" t="s">
        <v>4207</v>
      </c>
      <c r="C77" s="76">
        <v>35</v>
      </c>
      <c r="D77" s="73" t="s">
        <v>4234</v>
      </c>
      <c r="E77" s="73" t="s">
        <v>19</v>
      </c>
      <c r="F77" s="75">
        <v>42033</v>
      </c>
      <c r="G77" s="82">
        <f>126.06</f>
        <v>126.06</v>
      </c>
      <c r="H77" s="79"/>
      <c r="I77" s="79"/>
      <c r="J77" s="79"/>
      <c r="K77" s="79"/>
      <c r="L77" s="79"/>
      <c r="M77" s="79"/>
      <c r="N77" s="79"/>
      <c r="O77" s="79"/>
      <c r="P77" s="79"/>
      <c r="Q77" s="79">
        <f t="shared" si="3"/>
        <v>126.06</v>
      </c>
      <c r="R77" s="79">
        <f t="shared" si="4"/>
        <v>0</v>
      </c>
      <c r="S77" s="79">
        <f t="shared" si="5"/>
        <v>126.06</v>
      </c>
    </row>
    <row r="78" spans="1:19" x14ac:dyDescent="0.2">
      <c r="A78" s="102" t="s">
        <v>4193</v>
      </c>
      <c r="B78" s="71" t="s">
        <v>4207</v>
      </c>
      <c r="C78" s="76">
        <v>35</v>
      </c>
      <c r="D78" s="73" t="s">
        <v>4235</v>
      </c>
      <c r="E78" s="73" t="s">
        <v>19</v>
      </c>
      <c r="F78" s="75">
        <v>42033</v>
      </c>
      <c r="G78" s="82">
        <f>70.07</f>
        <v>70.069999999999993</v>
      </c>
      <c r="H78" s="79"/>
      <c r="I78" s="79"/>
      <c r="J78" s="79"/>
      <c r="K78" s="79"/>
      <c r="L78" s="79"/>
      <c r="M78" s="79"/>
      <c r="N78" s="79"/>
      <c r="O78" s="79"/>
      <c r="P78" s="79"/>
      <c r="Q78" s="79">
        <f t="shared" si="3"/>
        <v>70.069999999999993</v>
      </c>
      <c r="R78" s="79">
        <f t="shared" si="4"/>
        <v>0</v>
      </c>
      <c r="S78" s="79">
        <f t="shared" si="5"/>
        <v>70.069999999999993</v>
      </c>
    </row>
    <row r="79" spans="1:19" x14ac:dyDescent="0.2">
      <c r="A79" s="102" t="s">
        <v>4193</v>
      </c>
      <c r="B79" s="71" t="s">
        <v>4207</v>
      </c>
      <c r="C79" s="76">
        <v>35</v>
      </c>
      <c r="D79" s="73" t="s">
        <v>4236</v>
      </c>
      <c r="E79" s="73" t="s">
        <v>19</v>
      </c>
      <c r="F79" s="75">
        <v>42033</v>
      </c>
      <c r="G79" s="82">
        <f>210.16+154.33+154.33</f>
        <v>518.82000000000005</v>
      </c>
      <c r="H79" s="79"/>
      <c r="I79" s="79"/>
      <c r="J79" s="79"/>
      <c r="K79" s="79"/>
      <c r="L79" s="79"/>
      <c r="M79" s="79"/>
      <c r="N79" s="79"/>
      <c r="O79" s="79"/>
      <c r="P79" s="79"/>
      <c r="Q79" s="79">
        <f t="shared" si="3"/>
        <v>518.82000000000005</v>
      </c>
      <c r="R79" s="79">
        <f t="shared" si="4"/>
        <v>0</v>
      </c>
      <c r="S79" s="79">
        <f t="shared" si="5"/>
        <v>518.82000000000005</v>
      </c>
    </row>
    <row r="80" spans="1:19" x14ac:dyDescent="0.2">
      <c r="A80" s="102" t="s">
        <v>4193</v>
      </c>
      <c r="B80" s="71" t="s">
        <v>4207</v>
      </c>
      <c r="C80" s="76">
        <v>35</v>
      </c>
      <c r="D80" s="73" t="s">
        <v>4237</v>
      </c>
      <c r="E80" s="73" t="s">
        <v>19</v>
      </c>
      <c r="F80" s="75">
        <v>42033</v>
      </c>
      <c r="G80" s="82">
        <f>114.9</f>
        <v>114.9</v>
      </c>
      <c r="H80" s="79"/>
      <c r="I80" s="79"/>
      <c r="J80" s="79"/>
      <c r="K80" s="79"/>
      <c r="L80" s="79"/>
      <c r="M80" s="79"/>
      <c r="N80" s="79"/>
      <c r="O80" s="79"/>
      <c r="P80" s="79"/>
      <c r="Q80" s="79">
        <f t="shared" si="3"/>
        <v>114.9</v>
      </c>
      <c r="R80" s="79">
        <f t="shared" si="4"/>
        <v>0</v>
      </c>
      <c r="S80" s="79">
        <f t="shared" si="5"/>
        <v>114.9</v>
      </c>
    </row>
    <row r="81" spans="1:19" x14ac:dyDescent="0.2">
      <c r="A81" s="102" t="s">
        <v>4199</v>
      </c>
      <c r="B81" s="71" t="s">
        <v>4213</v>
      </c>
      <c r="C81" s="76">
        <v>36</v>
      </c>
      <c r="D81" s="73" t="s">
        <v>4238</v>
      </c>
      <c r="E81" s="73" t="s">
        <v>19</v>
      </c>
      <c r="F81" s="75">
        <v>42034</v>
      </c>
      <c r="G81" s="82">
        <f>848+2241.68+1621.67</f>
        <v>4711.3500000000004</v>
      </c>
      <c r="H81" s="79"/>
      <c r="I81" s="79"/>
      <c r="J81" s="79"/>
      <c r="K81" s="79"/>
      <c r="L81" s="79"/>
      <c r="M81" s="79"/>
      <c r="N81" s="79"/>
      <c r="O81" s="79"/>
      <c r="P81" s="79"/>
      <c r="Q81" s="79">
        <f t="shared" si="3"/>
        <v>4711.3500000000004</v>
      </c>
      <c r="R81" s="79">
        <f t="shared" si="4"/>
        <v>0</v>
      </c>
      <c r="S81" s="79">
        <f t="shared" si="5"/>
        <v>4711.3500000000004</v>
      </c>
    </row>
    <row r="82" spans="1:19" x14ac:dyDescent="0.2">
      <c r="A82" s="102" t="s">
        <v>4200</v>
      </c>
      <c r="B82" s="71" t="s">
        <v>4214</v>
      </c>
      <c r="C82" s="76">
        <v>37</v>
      </c>
      <c r="D82" s="73" t="s">
        <v>4239</v>
      </c>
      <c r="E82" s="73" t="s">
        <v>19</v>
      </c>
      <c r="F82" s="75">
        <v>42037</v>
      </c>
      <c r="G82" s="82">
        <f>130.8</f>
        <v>130.80000000000001</v>
      </c>
      <c r="H82" s="79"/>
      <c r="I82" s="79"/>
      <c r="J82" s="79"/>
      <c r="K82" s="79"/>
      <c r="L82" s="79"/>
      <c r="M82" s="79"/>
      <c r="N82" s="79"/>
      <c r="O82" s="79"/>
      <c r="P82" s="79"/>
      <c r="Q82" s="79">
        <f t="shared" si="3"/>
        <v>130.80000000000001</v>
      </c>
      <c r="R82" s="79">
        <f t="shared" si="4"/>
        <v>0</v>
      </c>
      <c r="S82" s="79">
        <f t="shared" si="5"/>
        <v>130.80000000000001</v>
      </c>
    </row>
    <row r="83" spans="1:19" x14ac:dyDescent="0.2">
      <c r="A83" s="102" t="s">
        <v>4201</v>
      </c>
      <c r="B83" s="71" t="s">
        <v>4215</v>
      </c>
      <c r="C83" s="76">
        <v>38</v>
      </c>
      <c r="D83" s="73" t="s">
        <v>4240</v>
      </c>
      <c r="E83" s="73" t="s">
        <v>19</v>
      </c>
      <c r="F83" s="75">
        <v>42027</v>
      </c>
      <c r="G83" s="82">
        <f>294.49</f>
        <v>294.49</v>
      </c>
      <c r="H83" s="79"/>
      <c r="I83" s="79"/>
      <c r="J83" s="79"/>
      <c r="K83" s="79"/>
      <c r="L83" s="79"/>
      <c r="M83" s="79"/>
      <c r="N83" s="79"/>
      <c r="O83" s="79"/>
      <c r="P83" s="79"/>
      <c r="Q83" s="79">
        <f t="shared" si="3"/>
        <v>294.49</v>
      </c>
      <c r="R83" s="79">
        <f t="shared" si="4"/>
        <v>0</v>
      </c>
      <c r="S83" s="79">
        <f t="shared" si="5"/>
        <v>294.49</v>
      </c>
    </row>
    <row r="84" spans="1:19" x14ac:dyDescent="0.2">
      <c r="A84" s="102" t="s">
        <v>4201</v>
      </c>
      <c r="B84" s="71" t="s">
        <v>4215</v>
      </c>
      <c r="C84" s="76">
        <v>38</v>
      </c>
      <c r="D84" s="73" t="s">
        <v>4241</v>
      </c>
      <c r="E84" s="73" t="s">
        <v>19</v>
      </c>
      <c r="F84" s="75">
        <v>42027</v>
      </c>
      <c r="G84" s="82">
        <f>56.64</f>
        <v>56.64</v>
      </c>
      <c r="H84" s="79"/>
      <c r="I84" s="79"/>
      <c r="J84" s="79"/>
      <c r="K84" s="79"/>
      <c r="L84" s="79"/>
      <c r="M84" s="79"/>
      <c r="N84" s="79"/>
      <c r="O84" s="79"/>
      <c r="P84" s="79"/>
      <c r="Q84" s="79">
        <f t="shared" si="3"/>
        <v>56.64</v>
      </c>
      <c r="R84" s="79">
        <f t="shared" si="4"/>
        <v>0</v>
      </c>
      <c r="S84" s="79">
        <f t="shared" si="5"/>
        <v>56.64</v>
      </c>
    </row>
    <row r="85" spans="1:19" x14ac:dyDescent="0.2">
      <c r="A85" s="102" t="s">
        <v>4201</v>
      </c>
      <c r="B85" s="71" t="s">
        <v>4215</v>
      </c>
      <c r="C85" s="76">
        <v>38</v>
      </c>
      <c r="D85" s="73" t="s">
        <v>4242</v>
      </c>
      <c r="E85" s="73" t="s">
        <v>19</v>
      </c>
      <c r="F85" s="75">
        <v>42027</v>
      </c>
      <c r="G85" s="82">
        <f>175.21</f>
        <v>175.21</v>
      </c>
      <c r="H85" s="79"/>
      <c r="I85" s="79"/>
      <c r="J85" s="79"/>
      <c r="K85" s="79"/>
      <c r="L85" s="79"/>
      <c r="M85" s="79"/>
      <c r="N85" s="79"/>
      <c r="O85" s="79"/>
      <c r="P85" s="79"/>
      <c r="Q85" s="79">
        <f t="shared" si="3"/>
        <v>175.21</v>
      </c>
      <c r="R85" s="79">
        <f t="shared" si="4"/>
        <v>0</v>
      </c>
      <c r="S85" s="79">
        <f t="shared" si="5"/>
        <v>175.21</v>
      </c>
    </row>
    <row r="86" spans="1:19" x14ac:dyDescent="0.2">
      <c r="A86" s="102" t="s">
        <v>4202</v>
      </c>
      <c r="B86" s="71" t="s">
        <v>4216</v>
      </c>
      <c r="C86" s="76">
        <v>39</v>
      </c>
      <c r="D86" s="73" t="s">
        <v>4243</v>
      </c>
      <c r="E86" s="73" t="s">
        <v>19</v>
      </c>
      <c r="F86" s="75">
        <v>42027</v>
      </c>
      <c r="G86" s="82">
        <f>453.89</f>
        <v>453.89</v>
      </c>
      <c r="H86" s="79"/>
      <c r="I86" s="79"/>
      <c r="J86" s="79"/>
      <c r="K86" s="79"/>
      <c r="L86" s="79"/>
      <c r="M86" s="79"/>
      <c r="N86" s="79"/>
      <c r="O86" s="79"/>
      <c r="P86" s="79"/>
      <c r="Q86" s="79">
        <f t="shared" si="3"/>
        <v>453.89</v>
      </c>
      <c r="R86" s="79">
        <f t="shared" si="4"/>
        <v>0</v>
      </c>
      <c r="S86" s="79">
        <f t="shared" si="5"/>
        <v>453.89</v>
      </c>
    </row>
    <row r="87" spans="1:19" x14ac:dyDescent="0.2">
      <c r="A87" s="102" t="s">
        <v>4257</v>
      </c>
      <c r="B87" s="71" t="s">
        <v>4274</v>
      </c>
      <c r="C87" s="76">
        <v>40</v>
      </c>
      <c r="D87" s="73" t="s">
        <v>4291</v>
      </c>
      <c r="E87" s="73" t="s">
        <v>19</v>
      </c>
      <c r="F87" s="105">
        <v>42039</v>
      </c>
      <c r="G87" s="82">
        <f>277.65</f>
        <v>277.64999999999998</v>
      </c>
      <c r="H87" s="79"/>
      <c r="I87" s="79"/>
      <c r="J87" s="79"/>
      <c r="K87" s="79"/>
      <c r="L87" s="79"/>
      <c r="M87" s="79"/>
      <c r="N87" s="79"/>
      <c r="O87" s="79"/>
      <c r="P87" s="79"/>
      <c r="Q87" s="79">
        <f t="shared" si="3"/>
        <v>277.64999999999998</v>
      </c>
      <c r="R87" s="79">
        <f t="shared" si="4"/>
        <v>0</v>
      </c>
      <c r="S87" s="79">
        <f t="shared" si="5"/>
        <v>277.64999999999998</v>
      </c>
    </row>
    <row r="88" spans="1:19" x14ac:dyDescent="0.2">
      <c r="A88" s="102" t="s">
        <v>4258</v>
      </c>
      <c r="B88" s="71" t="s">
        <v>4275</v>
      </c>
      <c r="C88" s="76">
        <v>41</v>
      </c>
      <c r="D88" s="73" t="s">
        <v>4292</v>
      </c>
      <c r="E88" s="73" t="s">
        <v>19</v>
      </c>
      <c r="F88" s="105">
        <v>42035</v>
      </c>
      <c r="G88" s="82">
        <f>170+41.3+71.65+7936.96+77.14+66.61+29.2+230.6+41.3+71.65+71.65+41.3+558</f>
        <v>9407.3599999999988</v>
      </c>
      <c r="H88" s="79"/>
      <c r="I88" s="79">
        <v>3850</v>
      </c>
      <c r="J88" s="79"/>
      <c r="K88" s="79"/>
      <c r="L88" s="79"/>
      <c r="M88" s="79"/>
      <c r="N88" s="79"/>
      <c r="O88" s="79"/>
      <c r="P88" s="79"/>
      <c r="Q88" s="79">
        <f t="shared" si="3"/>
        <v>13257.359999999999</v>
      </c>
      <c r="R88" s="79">
        <f t="shared" si="4"/>
        <v>0</v>
      </c>
      <c r="S88" s="79">
        <f t="shared" si="5"/>
        <v>13257.359999999999</v>
      </c>
    </row>
    <row r="89" spans="1:19" x14ac:dyDescent="0.2">
      <c r="A89" s="102" t="s">
        <v>4258</v>
      </c>
      <c r="B89" s="71" t="s">
        <v>4275</v>
      </c>
      <c r="C89" s="76">
        <v>41</v>
      </c>
      <c r="D89" s="73" t="s">
        <v>4293</v>
      </c>
      <c r="E89" s="73" t="s">
        <v>19</v>
      </c>
      <c r="F89" s="105">
        <v>42035</v>
      </c>
      <c r="G89" s="82">
        <f>50</f>
        <v>50</v>
      </c>
      <c r="H89" s="79"/>
      <c r="I89" s="79"/>
      <c r="J89" s="79"/>
      <c r="K89" s="79"/>
      <c r="L89" s="79"/>
      <c r="M89" s="79"/>
      <c r="N89" s="79"/>
      <c r="O89" s="79"/>
      <c r="P89" s="79"/>
      <c r="Q89" s="79">
        <f t="shared" si="3"/>
        <v>50</v>
      </c>
      <c r="R89" s="79">
        <f t="shared" si="4"/>
        <v>0</v>
      </c>
      <c r="S89" s="79">
        <f t="shared" si="5"/>
        <v>50</v>
      </c>
    </row>
    <row r="90" spans="1:19" x14ac:dyDescent="0.2">
      <c r="A90" s="102" t="s">
        <v>4259</v>
      </c>
      <c r="B90" s="71" t="s">
        <v>4276</v>
      </c>
      <c r="C90" s="76">
        <v>42</v>
      </c>
      <c r="D90" s="73" t="s">
        <v>4294</v>
      </c>
      <c r="E90" s="73" t="s">
        <v>19</v>
      </c>
      <c r="F90" s="105">
        <v>42018</v>
      </c>
      <c r="G90" s="82">
        <f>61.48</f>
        <v>61.48</v>
      </c>
      <c r="H90" s="79"/>
      <c r="I90" s="79"/>
      <c r="J90" s="79"/>
      <c r="K90" s="79"/>
      <c r="L90" s="79"/>
      <c r="M90" s="79"/>
      <c r="N90" s="79"/>
      <c r="O90" s="79"/>
      <c r="P90" s="79"/>
      <c r="Q90" s="79">
        <f t="shared" si="3"/>
        <v>61.48</v>
      </c>
      <c r="R90" s="79">
        <f t="shared" si="4"/>
        <v>0</v>
      </c>
      <c r="S90" s="79">
        <f t="shared" si="5"/>
        <v>61.48</v>
      </c>
    </row>
    <row r="91" spans="1:19" x14ac:dyDescent="0.2">
      <c r="A91" s="102" t="s">
        <v>4259</v>
      </c>
      <c r="B91" s="71" t="s">
        <v>4276</v>
      </c>
      <c r="C91" s="76">
        <v>42</v>
      </c>
      <c r="D91" s="73" t="s">
        <v>4295</v>
      </c>
      <c r="E91" s="73" t="s">
        <v>19</v>
      </c>
      <c r="F91" s="105">
        <v>42018</v>
      </c>
      <c r="G91" s="82">
        <f>57.88</f>
        <v>57.88</v>
      </c>
      <c r="H91" s="79"/>
      <c r="I91" s="79"/>
      <c r="J91" s="79"/>
      <c r="K91" s="79"/>
      <c r="L91" s="79"/>
      <c r="M91" s="79"/>
      <c r="N91" s="79"/>
      <c r="O91" s="79"/>
      <c r="P91" s="79"/>
      <c r="Q91" s="79">
        <f t="shared" si="3"/>
        <v>57.88</v>
      </c>
      <c r="R91" s="79">
        <f t="shared" si="4"/>
        <v>0</v>
      </c>
      <c r="S91" s="79">
        <f t="shared" si="5"/>
        <v>57.88</v>
      </c>
    </row>
    <row r="92" spans="1:19" x14ac:dyDescent="0.2">
      <c r="A92" s="102" t="s">
        <v>4260</v>
      </c>
      <c r="B92" s="71" t="s">
        <v>4277</v>
      </c>
      <c r="C92" s="76">
        <v>43</v>
      </c>
      <c r="D92" s="73" t="s">
        <v>4946</v>
      </c>
      <c r="E92" s="73" t="s">
        <v>19</v>
      </c>
      <c r="F92" s="105">
        <v>42039</v>
      </c>
      <c r="G92" s="82">
        <f>105</f>
        <v>105</v>
      </c>
      <c r="H92" s="79"/>
      <c r="I92" s="79"/>
      <c r="J92" s="79"/>
      <c r="K92" s="79"/>
      <c r="L92" s="79"/>
      <c r="M92" s="79"/>
      <c r="N92" s="79"/>
      <c r="O92" s="79"/>
      <c r="P92" s="79"/>
      <c r="Q92" s="79">
        <f t="shared" si="3"/>
        <v>105</v>
      </c>
      <c r="R92" s="79">
        <f t="shared" si="4"/>
        <v>0</v>
      </c>
      <c r="S92" s="79">
        <f t="shared" si="5"/>
        <v>105</v>
      </c>
    </row>
    <row r="93" spans="1:19" x14ac:dyDescent="0.2">
      <c r="A93" s="102" t="s">
        <v>4261</v>
      </c>
      <c r="B93" s="71" t="s">
        <v>4278</v>
      </c>
      <c r="C93" s="76">
        <v>44</v>
      </c>
      <c r="D93" s="73" t="s">
        <v>4296</v>
      </c>
      <c r="E93" s="73" t="s">
        <v>19</v>
      </c>
      <c r="F93" s="105">
        <v>42037</v>
      </c>
      <c r="G93" s="82">
        <f>195+320+49.75+709.1+462.9+558</f>
        <v>2294.75</v>
      </c>
      <c r="H93" s="79"/>
      <c r="I93" s="79">
        <f>1250</f>
        <v>1250</v>
      </c>
      <c r="J93" s="79"/>
      <c r="K93" s="79"/>
      <c r="L93" s="79"/>
      <c r="M93" s="79"/>
      <c r="N93" s="79"/>
      <c r="O93" s="79"/>
      <c r="P93" s="79"/>
      <c r="Q93" s="79">
        <f t="shared" si="3"/>
        <v>3544.75</v>
      </c>
      <c r="R93" s="79">
        <f t="shared" si="4"/>
        <v>0</v>
      </c>
      <c r="S93" s="79">
        <f t="shared" si="5"/>
        <v>3544.75</v>
      </c>
    </row>
    <row r="94" spans="1:19" x14ac:dyDescent="0.2">
      <c r="A94" s="102" t="s">
        <v>4261</v>
      </c>
      <c r="B94" s="71" t="s">
        <v>4278</v>
      </c>
      <c r="C94" s="76">
        <v>44</v>
      </c>
      <c r="D94" s="73" t="s">
        <v>4297</v>
      </c>
      <c r="E94" s="73" t="s">
        <v>19</v>
      </c>
      <c r="F94" s="105">
        <v>42037</v>
      </c>
      <c r="G94" s="82">
        <f>40</f>
        <v>40</v>
      </c>
      <c r="H94" s="79"/>
      <c r="I94" s="79"/>
      <c r="J94" s="79"/>
      <c r="K94" s="79"/>
      <c r="L94" s="79"/>
      <c r="M94" s="79"/>
      <c r="N94" s="79"/>
      <c r="O94" s="79"/>
      <c r="P94" s="79"/>
      <c r="Q94" s="79">
        <f t="shared" si="3"/>
        <v>40</v>
      </c>
      <c r="R94" s="79">
        <f t="shared" si="4"/>
        <v>0</v>
      </c>
      <c r="S94" s="79">
        <f t="shared" si="5"/>
        <v>40</v>
      </c>
    </row>
    <row r="95" spans="1:19" x14ac:dyDescent="0.2">
      <c r="A95" s="102" t="s">
        <v>4261</v>
      </c>
      <c r="B95" s="71" t="s">
        <v>4278</v>
      </c>
      <c r="C95" s="76">
        <v>44</v>
      </c>
      <c r="D95" s="73" t="s">
        <v>4298</v>
      </c>
      <c r="E95" s="73" t="s">
        <v>19</v>
      </c>
      <c r="F95" s="105">
        <v>42037</v>
      </c>
      <c r="G95" s="82">
        <f>179.6+1290.8</f>
        <v>1470.3999999999999</v>
      </c>
      <c r="H95" s="79"/>
      <c r="I95" s="79">
        <f>750</f>
        <v>750</v>
      </c>
      <c r="J95" s="79"/>
      <c r="K95" s="79"/>
      <c r="L95" s="79"/>
      <c r="M95" s="79"/>
      <c r="N95" s="79"/>
      <c r="O95" s="79"/>
      <c r="P95" s="79"/>
      <c r="Q95" s="79">
        <f t="shared" si="3"/>
        <v>2220.3999999999996</v>
      </c>
      <c r="R95" s="79">
        <f t="shared" si="4"/>
        <v>0</v>
      </c>
      <c r="S95" s="79">
        <f t="shared" si="5"/>
        <v>2220.3999999999996</v>
      </c>
    </row>
    <row r="96" spans="1:19" x14ac:dyDescent="0.2">
      <c r="A96" s="102" t="s">
        <v>4261</v>
      </c>
      <c r="B96" s="71" t="s">
        <v>4278</v>
      </c>
      <c r="C96" s="76">
        <v>44</v>
      </c>
      <c r="D96" s="73" t="s">
        <v>4299</v>
      </c>
      <c r="E96" s="73" t="s">
        <v>19</v>
      </c>
      <c r="F96" s="105">
        <v>42037</v>
      </c>
      <c r="G96" s="82">
        <f>152.9</f>
        <v>152.9</v>
      </c>
      <c r="H96" s="79"/>
      <c r="I96" s="79"/>
      <c r="J96" s="79"/>
      <c r="K96" s="79"/>
      <c r="L96" s="79"/>
      <c r="M96" s="79"/>
      <c r="N96" s="79"/>
      <c r="O96" s="79"/>
      <c r="P96" s="79"/>
      <c r="Q96" s="79">
        <f t="shared" si="3"/>
        <v>152.9</v>
      </c>
      <c r="R96" s="79">
        <f t="shared" si="4"/>
        <v>0</v>
      </c>
      <c r="S96" s="79">
        <f t="shared" si="5"/>
        <v>152.9</v>
      </c>
    </row>
    <row r="97" spans="1:19" x14ac:dyDescent="0.2">
      <c r="A97" s="102" t="s">
        <v>4261</v>
      </c>
      <c r="B97" s="71" t="s">
        <v>4278</v>
      </c>
      <c r="C97" s="76">
        <v>44</v>
      </c>
      <c r="D97" s="73" t="s">
        <v>4300</v>
      </c>
      <c r="E97" s="73" t="s">
        <v>19</v>
      </c>
      <c r="F97" s="105">
        <v>42037</v>
      </c>
      <c r="G97" s="82">
        <f>107.3</f>
        <v>107.3</v>
      </c>
      <c r="H97" s="79"/>
      <c r="I97" s="79"/>
      <c r="J97" s="79"/>
      <c r="K97" s="79"/>
      <c r="L97" s="79"/>
      <c r="M97" s="79"/>
      <c r="N97" s="79"/>
      <c r="O97" s="79"/>
      <c r="P97" s="79"/>
      <c r="Q97" s="79">
        <f t="shared" si="3"/>
        <v>107.3</v>
      </c>
      <c r="R97" s="79">
        <f t="shared" si="4"/>
        <v>0</v>
      </c>
      <c r="S97" s="79">
        <f t="shared" si="5"/>
        <v>107.3</v>
      </c>
    </row>
    <row r="98" spans="1:19" x14ac:dyDescent="0.2">
      <c r="A98" s="102" t="s">
        <v>4262</v>
      </c>
      <c r="B98" s="71" t="s">
        <v>4279</v>
      </c>
      <c r="C98" s="76">
        <v>45</v>
      </c>
      <c r="D98" s="73" t="s">
        <v>4301</v>
      </c>
      <c r="E98" s="73" t="s">
        <v>19</v>
      </c>
      <c r="F98" s="105">
        <v>42020</v>
      </c>
      <c r="G98" s="82">
        <f>423.9</f>
        <v>423.9</v>
      </c>
      <c r="H98" s="79"/>
      <c r="I98" s="79"/>
      <c r="J98" s="79"/>
      <c r="K98" s="79"/>
      <c r="L98" s="79"/>
      <c r="M98" s="79"/>
      <c r="N98" s="79"/>
      <c r="O98" s="79"/>
      <c r="P98" s="79"/>
      <c r="Q98" s="79">
        <f t="shared" si="3"/>
        <v>423.9</v>
      </c>
      <c r="R98" s="79">
        <f t="shared" si="4"/>
        <v>0</v>
      </c>
      <c r="S98" s="79">
        <f t="shared" si="5"/>
        <v>423.9</v>
      </c>
    </row>
    <row r="99" spans="1:19" x14ac:dyDescent="0.2">
      <c r="A99" s="102" t="s">
        <v>4263</v>
      </c>
      <c r="B99" s="71" t="s">
        <v>4280</v>
      </c>
      <c r="C99" s="76">
        <v>46</v>
      </c>
      <c r="D99" s="73" t="s">
        <v>4302</v>
      </c>
      <c r="E99" s="73" t="s">
        <v>19</v>
      </c>
      <c r="F99" s="105">
        <v>42023</v>
      </c>
      <c r="G99" s="82">
        <f>51.4</f>
        <v>51.4</v>
      </c>
      <c r="H99" s="79"/>
      <c r="I99" s="79"/>
      <c r="J99" s="79"/>
      <c r="K99" s="79"/>
      <c r="L99" s="79"/>
      <c r="M99" s="79"/>
      <c r="N99" s="79"/>
      <c r="O99" s="79"/>
      <c r="P99" s="79"/>
      <c r="Q99" s="79">
        <f t="shared" si="3"/>
        <v>51.4</v>
      </c>
      <c r="R99" s="79">
        <f t="shared" si="4"/>
        <v>0</v>
      </c>
      <c r="S99" s="79">
        <f t="shared" si="5"/>
        <v>51.4</v>
      </c>
    </row>
    <row r="100" spans="1:19" x14ac:dyDescent="0.2">
      <c r="A100" s="102" t="s">
        <v>4263</v>
      </c>
      <c r="B100" s="71" t="s">
        <v>4280</v>
      </c>
      <c r="C100" s="76">
        <v>46</v>
      </c>
      <c r="D100" s="73" t="s">
        <v>4303</v>
      </c>
      <c r="E100" s="73" t="s">
        <v>19</v>
      </c>
      <c r="F100" s="105">
        <v>42023</v>
      </c>
      <c r="G100" s="82">
        <f>51.4</f>
        <v>51.4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>
        <f t="shared" si="3"/>
        <v>51.4</v>
      </c>
      <c r="R100" s="79">
        <f t="shared" si="4"/>
        <v>0</v>
      </c>
      <c r="S100" s="79">
        <f t="shared" si="5"/>
        <v>51.4</v>
      </c>
    </row>
    <row r="101" spans="1:19" x14ac:dyDescent="0.2">
      <c r="A101" s="102" t="s">
        <v>4264</v>
      </c>
      <c r="B101" s="71" t="s">
        <v>4281</v>
      </c>
      <c r="C101" s="76">
        <v>47</v>
      </c>
      <c r="D101" s="73" t="s">
        <v>4304</v>
      </c>
      <c r="E101" s="73" t="s">
        <v>19</v>
      </c>
      <c r="F101" s="105">
        <v>42025</v>
      </c>
      <c r="G101" s="82">
        <f>175.6</f>
        <v>175.6</v>
      </c>
      <c r="H101" s="79"/>
      <c r="I101" s="79"/>
      <c r="J101" s="79"/>
      <c r="K101" s="79"/>
      <c r="L101" s="79"/>
      <c r="M101" s="79"/>
      <c r="N101" s="79"/>
      <c r="O101" s="79"/>
      <c r="P101" s="79"/>
      <c r="Q101" s="79">
        <f t="shared" si="3"/>
        <v>175.6</v>
      </c>
      <c r="R101" s="79">
        <f t="shared" si="4"/>
        <v>0</v>
      </c>
      <c r="S101" s="79">
        <f t="shared" si="5"/>
        <v>175.6</v>
      </c>
    </row>
    <row r="102" spans="1:19" x14ac:dyDescent="0.2">
      <c r="A102" s="102" t="s">
        <v>4265</v>
      </c>
      <c r="B102" s="71" t="s">
        <v>4282</v>
      </c>
      <c r="C102" s="76">
        <v>48</v>
      </c>
      <c r="D102" s="73" t="s">
        <v>4305</v>
      </c>
      <c r="E102" s="73" t="s">
        <v>19</v>
      </c>
      <c r="F102" s="105">
        <v>42027</v>
      </c>
      <c r="G102" s="82">
        <f>40</f>
        <v>40</v>
      </c>
      <c r="H102" s="79"/>
      <c r="I102" s="79"/>
      <c r="J102" s="79"/>
      <c r="K102" s="79"/>
      <c r="L102" s="79"/>
      <c r="M102" s="79"/>
      <c r="N102" s="79"/>
      <c r="O102" s="79"/>
      <c r="P102" s="79"/>
      <c r="Q102" s="79">
        <f t="shared" si="3"/>
        <v>40</v>
      </c>
      <c r="R102" s="79">
        <f t="shared" si="4"/>
        <v>0</v>
      </c>
      <c r="S102" s="79">
        <f t="shared" si="5"/>
        <v>40</v>
      </c>
    </row>
    <row r="103" spans="1:19" x14ac:dyDescent="0.2">
      <c r="A103" s="102" t="s">
        <v>4266</v>
      </c>
      <c r="B103" s="71" t="s">
        <v>4283</v>
      </c>
      <c r="C103" s="76">
        <v>49</v>
      </c>
      <c r="D103" s="73" t="s">
        <v>4306</v>
      </c>
      <c r="E103" s="73" t="s">
        <v>19</v>
      </c>
      <c r="F103" s="105">
        <v>42028</v>
      </c>
      <c r="G103" s="82">
        <f>48</f>
        <v>48</v>
      </c>
      <c r="H103" s="79"/>
      <c r="I103" s="79"/>
      <c r="J103" s="79"/>
      <c r="K103" s="79"/>
      <c r="L103" s="79"/>
      <c r="M103" s="79"/>
      <c r="N103" s="79"/>
      <c r="O103" s="79"/>
      <c r="P103" s="79"/>
      <c r="Q103" s="79">
        <f t="shared" si="3"/>
        <v>48</v>
      </c>
      <c r="R103" s="79">
        <f t="shared" si="4"/>
        <v>0</v>
      </c>
      <c r="S103" s="79">
        <f t="shared" si="5"/>
        <v>48</v>
      </c>
    </row>
    <row r="104" spans="1:19" x14ac:dyDescent="0.2">
      <c r="A104" s="102" t="s">
        <v>4266</v>
      </c>
      <c r="B104" s="71" t="s">
        <v>4283</v>
      </c>
      <c r="C104" s="76">
        <v>49</v>
      </c>
      <c r="D104" s="73" t="s">
        <v>4307</v>
      </c>
      <c r="E104" s="73" t="s">
        <v>19</v>
      </c>
      <c r="F104" s="105">
        <v>42028</v>
      </c>
      <c r="G104" s="82">
        <f>134</f>
        <v>134</v>
      </c>
      <c r="H104" s="79"/>
      <c r="I104" s="79"/>
      <c r="J104" s="79"/>
      <c r="K104" s="79"/>
      <c r="L104" s="79"/>
      <c r="M104" s="79"/>
      <c r="N104" s="79"/>
      <c r="O104" s="79"/>
      <c r="P104" s="79"/>
      <c r="Q104" s="79">
        <f t="shared" si="3"/>
        <v>134</v>
      </c>
      <c r="R104" s="79">
        <f t="shared" si="4"/>
        <v>0</v>
      </c>
      <c r="S104" s="79">
        <f t="shared" si="5"/>
        <v>134</v>
      </c>
    </row>
    <row r="105" spans="1:19" x14ac:dyDescent="0.2">
      <c r="A105" s="102"/>
      <c r="B105" s="71"/>
      <c r="C105" s="76">
        <v>50</v>
      </c>
      <c r="D105" s="73" t="s">
        <v>4784</v>
      </c>
      <c r="E105" s="73"/>
      <c r="F105" s="105"/>
      <c r="G105" s="82"/>
      <c r="H105" s="79"/>
      <c r="I105" s="79"/>
      <c r="J105" s="79"/>
      <c r="K105" s="79"/>
      <c r="L105" s="79"/>
      <c r="M105" s="79"/>
      <c r="N105" s="79"/>
      <c r="O105" s="79"/>
      <c r="P105" s="79"/>
      <c r="Q105" s="79">
        <f t="shared" si="3"/>
        <v>0</v>
      </c>
      <c r="R105" s="79">
        <f t="shared" si="4"/>
        <v>0</v>
      </c>
      <c r="S105" s="79">
        <f t="shared" si="5"/>
        <v>0</v>
      </c>
    </row>
    <row r="106" spans="1:19" x14ac:dyDescent="0.2">
      <c r="A106" s="102" t="s">
        <v>4268</v>
      </c>
      <c r="B106" s="71" t="s">
        <v>4285</v>
      </c>
      <c r="C106" s="76">
        <v>51</v>
      </c>
      <c r="D106" s="73" t="s">
        <v>4309</v>
      </c>
      <c r="E106" s="73" t="s">
        <v>19</v>
      </c>
      <c r="F106" s="105">
        <v>42039</v>
      </c>
      <c r="G106" s="82">
        <f>904.8</f>
        <v>904.8</v>
      </c>
      <c r="H106" s="79"/>
      <c r="I106" s="79"/>
      <c r="J106" s="79"/>
      <c r="K106" s="79"/>
      <c r="L106" s="79"/>
      <c r="M106" s="79"/>
      <c r="N106" s="79"/>
      <c r="O106" s="79"/>
      <c r="P106" s="79"/>
      <c r="Q106" s="79">
        <f t="shared" si="3"/>
        <v>904.8</v>
      </c>
      <c r="R106" s="79">
        <f t="shared" si="4"/>
        <v>0</v>
      </c>
      <c r="S106" s="79">
        <f t="shared" si="5"/>
        <v>904.8</v>
      </c>
    </row>
    <row r="107" spans="1:19" x14ac:dyDescent="0.2">
      <c r="A107" s="102" t="s">
        <v>4269</v>
      </c>
      <c r="B107" s="71" t="s">
        <v>4286</v>
      </c>
      <c r="C107" s="76">
        <v>52</v>
      </c>
      <c r="D107" s="73" t="s">
        <v>4310</v>
      </c>
      <c r="E107" s="73" t="s">
        <v>19</v>
      </c>
      <c r="F107" s="105">
        <v>42043</v>
      </c>
      <c r="G107" s="82">
        <f>29.03+80+35</f>
        <v>144.03</v>
      </c>
      <c r="H107" s="79"/>
      <c r="I107" s="79"/>
      <c r="J107" s="79"/>
      <c r="K107" s="79"/>
      <c r="L107" s="79"/>
      <c r="M107" s="79"/>
      <c r="N107" s="79"/>
      <c r="O107" s="79"/>
      <c r="P107" s="79"/>
      <c r="Q107" s="79">
        <f t="shared" si="3"/>
        <v>144.03</v>
      </c>
      <c r="R107" s="79">
        <f t="shared" si="4"/>
        <v>0</v>
      </c>
      <c r="S107" s="79">
        <f t="shared" si="5"/>
        <v>144.03</v>
      </c>
    </row>
    <row r="108" spans="1:19" x14ac:dyDescent="0.2">
      <c r="A108" s="102" t="s">
        <v>4947</v>
      </c>
      <c r="B108" s="71" t="s">
        <v>4948</v>
      </c>
      <c r="C108" s="76">
        <v>53</v>
      </c>
      <c r="D108" s="73" t="s">
        <v>4949</v>
      </c>
      <c r="E108" s="73" t="s">
        <v>19</v>
      </c>
      <c r="F108" s="75">
        <v>42044</v>
      </c>
      <c r="G108" s="82">
        <f>228.3</f>
        <v>228.3</v>
      </c>
      <c r="H108" s="79"/>
      <c r="I108" s="79"/>
      <c r="J108" s="79"/>
      <c r="K108" s="79"/>
      <c r="L108" s="79"/>
      <c r="M108" s="79"/>
      <c r="N108" s="79"/>
      <c r="O108" s="79"/>
      <c r="P108" s="79"/>
      <c r="Q108" s="79">
        <f t="shared" si="3"/>
        <v>228.3</v>
      </c>
      <c r="R108" s="79">
        <f t="shared" si="4"/>
        <v>0</v>
      </c>
      <c r="S108" s="79">
        <f t="shared" si="5"/>
        <v>228.3</v>
      </c>
    </row>
    <row r="109" spans="1:19" x14ac:dyDescent="0.2">
      <c r="A109" s="102" t="s">
        <v>4950</v>
      </c>
      <c r="B109" s="71" t="s">
        <v>4951</v>
      </c>
      <c r="C109" s="76">
        <v>54</v>
      </c>
      <c r="D109" s="72" t="s">
        <v>4952</v>
      </c>
      <c r="E109" s="73" t="s">
        <v>73</v>
      </c>
      <c r="F109" s="75">
        <v>42045</v>
      </c>
      <c r="G109" s="82">
        <v>88.5</v>
      </c>
      <c r="H109" s="79"/>
      <c r="I109" s="79"/>
      <c r="J109" s="79"/>
      <c r="K109" s="79"/>
      <c r="L109" s="79"/>
      <c r="M109" s="79"/>
      <c r="N109" s="79"/>
      <c r="O109" s="79"/>
      <c r="P109" s="79"/>
      <c r="Q109" s="79">
        <f t="shared" si="3"/>
        <v>88.5</v>
      </c>
      <c r="R109" s="79">
        <f t="shared" si="4"/>
        <v>0</v>
      </c>
      <c r="S109" s="79">
        <f t="shared" si="5"/>
        <v>88.5</v>
      </c>
    </row>
    <row r="110" spans="1:19" x14ac:dyDescent="0.2">
      <c r="A110" s="102" t="s">
        <v>4270</v>
      </c>
      <c r="B110" s="71" t="s">
        <v>4287</v>
      </c>
      <c r="C110" s="76">
        <v>55</v>
      </c>
      <c r="D110" s="73" t="s">
        <v>4311</v>
      </c>
      <c r="E110" s="73" t="s">
        <v>19</v>
      </c>
      <c r="F110" s="105">
        <v>42045</v>
      </c>
      <c r="G110" s="82">
        <f>9329.46+41.3+41.3+257.82+108.57+301.96+41.3+2392.8+63+82.42</f>
        <v>12659.929999999995</v>
      </c>
      <c r="H110" s="79"/>
      <c r="I110" s="79">
        <f>3850</f>
        <v>3850</v>
      </c>
      <c r="J110" s="79"/>
      <c r="K110" s="79"/>
      <c r="L110" s="79"/>
      <c r="M110" s="79"/>
      <c r="N110" s="79"/>
      <c r="O110" s="79"/>
      <c r="P110" s="79"/>
      <c r="Q110" s="79">
        <f t="shared" si="3"/>
        <v>16509.929999999993</v>
      </c>
      <c r="R110" s="79">
        <f t="shared" si="4"/>
        <v>0</v>
      </c>
      <c r="S110" s="79">
        <f t="shared" si="5"/>
        <v>16509.929999999993</v>
      </c>
    </row>
    <row r="111" spans="1:19" x14ac:dyDescent="0.2">
      <c r="A111" s="102" t="s">
        <v>4270</v>
      </c>
      <c r="B111" s="71" t="s">
        <v>4287</v>
      </c>
      <c r="C111" s="76">
        <v>55</v>
      </c>
      <c r="D111" s="73" t="s">
        <v>4312</v>
      </c>
      <c r="E111" s="73" t="s">
        <v>19</v>
      </c>
      <c r="F111" s="105">
        <v>42045</v>
      </c>
      <c r="G111" s="82">
        <f>172.63</f>
        <v>172.63</v>
      </c>
      <c r="H111" s="79"/>
      <c r="I111" s="79"/>
      <c r="J111" s="79"/>
      <c r="K111" s="79"/>
      <c r="L111" s="79"/>
      <c r="M111" s="79"/>
      <c r="N111" s="79"/>
      <c r="O111" s="79"/>
      <c r="P111" s="79"/>
      <c r="Q111" s="79">
        <f t="shared" si="3"/>
        <v>172.63</v>
      </c>
      <c r="R111" s="79">
        <f t="shared" si="4"/>
        <v>0</v>
      </c>
      <c r="S111" s="79">
        <f t="shared" si="5"/>
        <v>172.63</v>
      </c>
    </row>
    <row r="112" spans="1:19" x14ac:dyDescent="0.2">
      <c r="A112" s="102" t="s">
        <v>4271</v>
      </c>
      <c r="B112" s="71" t="s">
        <v>4288</v>
      </c>
      <c r="C112" s="76">
        <v>56</v>
      </c>
      <c r="D112" s="73" t="s">
        <v>4313</v>
      </c>
      <c r="E112" s="73" t="s">
        <v>19</v>
      </c>
      <c r="F112" s="105">
        <v>42046</v>
      </c>
      <c r="G112" s="82">
        <f>130</f>
        <v>130</v>
      </c>
      <c r="H112" s="79"/>
      <c r="I112" s="79"/>
      <c r="J112" s="79"/>
      <c r="K112" s="79"/>
      <c r="L112" s="79"/>
      <c r="M112" s="79"/>
      <c r="N112" s="79"/>
      <c r="O112" s="79"/>
      <c r="P112" s="79"/>
      <c r="Q112" s="79">
        <f t="shared" si="3"/>
        <v>130</v>
      </c>
      <c r="R112" s="79">
        <f t="shared" si="4"/>
        <v>0</v>
      </c>
      <c r="S112" s="79">
        <f t="shared" si="5"/>
        <v>130</v>
      </c>
    </row>
    <row r="113" spans="1:19" x14ac:dyDescent="0.2">
      <c r="A113" s="102" t="s">
        <v>4272</v>
      </c>
      <c r="B113" s="71" t="s">
        <v>4289</v>
      </c>
      <c r="C113" s="76">
        <v>57</v>
      </c>
      <c r="D113" s="73" t="s">
        <v>4314</v>
      </c>
      <c r="E113" s="73" t="s">
        <v>19</v>
      </c>
      <c r="F113" s="105">
        <v>42046</v>
      </c>
      <c r="G113" s="82">
        <f>608.46+104.62</f>
        <v>713.08</v>
      </c>
      <c r="H113" s="79"/>
      <c r="I113" s="79"/>
      <c r="J113" s="79"/>
      <c r="K113" s="79"/>
      <c r="L113" s="79"/>
      <c r="M113" s="79"/>
      <c r="N113" s="79"/>
      <c r="O113" s="79"/>
      <c r="P113" s="79"/>
      <c r="Q113" s="79">
        <f t="shared" si="3"/>
        <v>713.08</v>
      </c>
      <c r="R113" s="79">
        <f t="shared" si="4"/>
        <v>0</v>
      </c>
      <c r="S113" s="79">
        <f t="shared" si="5"/>
        <v>713.08</v>
      </c>
    </row>
    <row r="114" spans="1:19" x14ac:dyDescent="0.2">
      <c r="A114" s="102" t="s">
        <v>4272</v>
      </c>
      <c r="B114" s="71" t="s">
        <v>4289</v>
      </c>
      <c r="C114" s="76">
        <v>57</v>
      </c>
      <c r="D114" s="73" t="s">
        <v>4315</v>
      </c>
      <c r="E114" s="73" t="s">
        <v>19</v>
      </c>
      <c r="F114" s="105">
        <v>42046</v>
      </c>
      <c r="G114" s="82">
        <f>535.33+41.3+99.21+138.72</f>
        <v>814.56000000000006</v>
      </c>
      <c r="H114" s="79"/>
      <c r="I114" s="79"/>
      <c r="J114" s="79"/>
      <c r="K114" s="79"/>
      <c r="L114" s="79"/>
      <c r="M114" s="79"/>
      <c r="N114" s="79"/>
      <c r="O114" s="79"/>
      <c r="P114" s="79"/>
      <c r="Q114" s="79">
        <f t="shared" si="3"/>
        <v>814.56000000000006</v>
      </c>
      <c r="R114" s="79">
        <f t="shared" si="4"/>
        <v>0</v>
      </c>
      <c r="S114" s="79">
        <f t="shared" si="5"/>
        <v>814.56000000000006</v>
      </c>
    </row>
    <row r="115" spans="1:19" x14ac:dyDescent="0.2">
      <c r="A115" s="102" t="s">
        <v>4272</v>
      </c>
      <c r="B115" s="71" t="s">
        <v>4289</v>
      </c>
      <c r="C115" s="76">
        <v>57</v>
      </c>
      <c r="D115" s="73" t="s">
        <v>4316</v>
      </c>
      <c r="E115" s="73" t="s">
        <v>19</v>
      </c>
      <c r="F115" s="105">
        <v>42046</v>
      </c>
      <c r="G115" s="82">
        <f>1050+1120.32+12602.6</f>
        <v>14772.92</v>
      </c>
      <c r="H115" s="79"/>
      <c r="I115" s="79"/>
      <c r="J115" s="79"/>
      <c r="K115" s="79"/>
      <c r="L115" s="79"/>
      <c r="M115" s="79"/>
      <c r="N115" s="79"/>
      <c r="O115" s="79"/>
      <c r="P115" s="79"/>
      <c r="Q115" s="79">
        <f t="shared" si="3"/>
        <v>14772.92</v>
      </c>
      <c r="R115" s="79">
        <f t="shared" si="4"/>
        <v>0</v>
      </c>
      <c r="S115" s="79">
        <f t="shared" si="5"/>
        <v>14772.92</v>
      </c>
    </row>
    <row r="116" spans="1:19" x14ac:dyDescent="0.2">
      <c r="A116" s="102" t="s">
        <v>4272</v>
      </c>
      <c r="B116" s="71" t="s">
        <v>4289</v>
      </c>
      <c r="C116" s="76">
        <v>57</v>
      </c>
      <c r="D116" s="73" t="s">
        <v>4317</v>
      </c>
      <c r="E116" s="73" t="s">
        <v>19</v>
      </c>
      <c r="F116" s="105">
        <v>42046</v>
      </c>
      <c r="G116" s="82">
        <f>105.23</f>
        <v>105.23</v>
      </c>
      <c r="H116" s="79"/>
      <c r="I116" s="79"/>
      <c r="J116" s="79"/>
      <c r="K116" s="79"/>
      <c r="L116" s="79"/>
      <c r="M116" s="79"/>
      <c r="N116" s="79"/>
      <c r="O116" s="79"/>
      <c r="P116" s="79"/>
      <c r="Q116" s="79">
        <f t="shared" si="3"/>
        <v>105.23</v>
      </c>
      <c r="R116" s="79">
        <f t="shared" si="4"/>
        <v>0</v>
      </c>
      <c r="S116" s="79">
        <f t="shared" si="5"/>
        <v>105.23</v>
      </c>
    </row>
    <row r="117" spans="1:19" x14ac:dyDescent="0.2">
      <c r="A117" s="102" t="s">
        <v>4273</v>
      </c>
      <c r="B117" s="71" t="s">
        <v>4290</v>
      </c>
      <c r="C117" s="76">
        <v>58</v>
      </c>
      <c r="D117" s="73" t="s">
        <v>4318</v>
      </c>
      <c r="E117" s="73" t="s">
        <v>19</v>
      </c>
      <c r="F117" s="105">
        <v>42048</v>
      </c>
      <c r="G117" s="82">
        <f>320+320+1294.9+35</f>
        <v>1969.9</v>
      </c>
      <c r="H117" s="79"/>
      <c r="I117" s="79">
        <v>1125</v>
      </c>
      <c r="J117" s="79"/>
      <c r="K117" s="79"/>
      <c r="L117" s="79"/>
      <c r="M117" s="79"/>
      <c r="N117" s="79"/>
      <c r="O117" s="79"/>
      <c r="P117" s="79"/>
      <c r="Q117" s="79">
        <f t="shared" si="3"/>
        <v>3094.9</v>
      </c>
      <c r="R117" s="79">
        <f t="shared" si="4"/>
        <v>0</v>
      </c>
      <c r="S117" s="79">
        <f t="shared" si="5"/>
        <v>3094.9</v>
      </c>
    </row>
    <row r="118" spans="1:19" x14ac:dyDescent="0.2">
      <c r="A118" s="102" t="s">
        <v>4273</v>
      </c>
      <c r="B118" s="71" t="s">
        <v>4290</v>
      </c>
      <c r="C118" s="76">
        <v>58</v>
      </c>
      <c r="D118" s="73" t="s">
        <v>4319</v>
      </c>
      <c r="E118" s="73" t="s">
        <v>19</v>
      </c>
      <c r="F118" s="105">
        <v>42048</v>
      </c>
      <c r="G118" s="82">
        <f>108.2</f>
        <v>108.2</v>
      </c>
      <c r="H118" s="79"/>
      <c r="I118" s="79"/>
      <c r="J118" s="79"/>
      <c r="K118" s="79"/>
      <c r="L118" s="79"/>
      <c r="M118" s="79"/>
      <c r="N118" s="79"/>
      <c r="O118" s="79"/>
      <c r="P118" s="79"/>
      <c r="Q118" s="79">
        <f t="shared" si="3"/>
        <v>108.2</v>
      </c>
      <c r="R118" s="79">
        <f t="shared" si="4"/>
        <v>0</v>
      </c>
      <c r="S118" s="79">
        <f t="shared" si="5"/>
        <v>108.2</v>
      </c>
    </row>
    <row r="119" spans="1:19" x14ac:dyDescent="0.2">
      <c r="A119" s="102" t="s">
        <v>4360</v>
      </c>
      <c r="B119" s="71" t="s">
        <v>4361</v>
      </c>
      <c r="C119" s="76">
        <v>59</v>
      </c>
      <c r="D119" s="72" t="s">
        <v>4325</v>
      </c>
      <c r="E119" s="73" t="s">
        <v>19</v>
      </c>
      <c r="F119" s="75">
        <v>42053</v>
      </c>
      <c r="G119" s="82">
        <f>52</f>
        <v>52</v>
      </c>
      <c r="H119" s="79"/>
      <c r="I119" s="79"/>
      <c r="J119" s="79"/>
      <c r="K119" s="79"/>
      <c r="L119" s="79"/>
      <c r="M119" s="79"/>
      <c r="N119" s="79"/>
      <c r="O119" s="79"/>
      <c r="P119" s="79"/>
      <c r="Q119" s="79">
        <f t="shared" si="3"/>
        <v>52</v>
      </c>
      <c r="R119" s="79">
        <f t="shared" si="4"/>
        <v>0</v>
      </c>
      <c r="S119" s="79">
        <f t="shared" si="5"/>
        <v>52</v>
      </c>
    </row>
    <row r="120" spans="1:19" x14ac:dyDescent="0.2">
      <c r="A120" s="102" t="s">
        <v>4362</v>
      </c>
      <c r="B120" s="71" t="s">
        <v>4363</v>
      </c>
      <c r="C120" s="76">
        <v>60</v>
      </c>
      <c r="D120" s="72" t="s">
        <v>4326</v>
      </c>
      <c r="E120" s="73" t="s">
        <v>19</v>
      </c>
      <c r="F120" s="75">
        <v>42053</v>
      </c>
      <c r="G120" s="82">
        <f>41.3+93.8</f>
        <v>135.1</v>
      </c>
      <c r="H120" s="79"/>
      <c r="I120" s="79"/>
      <c r="J120" s="79"/>
      <c r="K120" s="79"/>
      <c r="L120" s="79"/>
      <c r="M120" s="79"/>
      <c r="N120" s="79"/>
      <c r="O120" s="79"/>
      <c r="P120" s="79"/>
      <c r="Q120" s="79">
        <f t="shared" si="3"/>
        <v>135.1</v>
      </c>
      <c r="R120" s="79">
        <f t="shared" si="4"/>
        <v>0</v>
      </c>
      <c r="S120" s="79">
        <f t="shared" si="5"/>
        <v>135.1</v>
      </c>
    </row>
    <row r="121" spans="1:19" x14ac:dyDescent="0.2">
      <c r="A121" s="102" t="s">
        <v>4362</v>
      </c>
      <c r="B121" s="71" t="s">
        <v>4363</v>
      </c>
      <c r="C121" s="76">
        <v>60</v>
      </c>
      <c r="D121" s="72" t="s">
        <v>4327</v>
      </c>
      <c r="E121" s="73" t="s">
        <v>19</v>
      </c>
      <c r="F121" s="75">
        <v>42053</v>
      </c>
      <c r="G121" s="82">
        <f>61.25</f>
        <v>61.25</v>
      </c>
      <c r="H121" s="79"/>
      <c r="I121" s="79"/>
      <c r="J121" s="79"/>
      <c r="K121" s="79"/>
      <c r="L121" s="79"/>
      <c r="M121" s="79"/>
      <c r="N121" s="79"/>
      <c r="O121" s="79"/>
      <c r="P121" s="79"/>
      <c r="Q121" s="79">
        <f t="shared" si="3"/>
        <v>61.25</v>
      </c>
      <c r="R121" s="79">
        <f t="shared" si="4"/>
        <v>0</v>
      </c>
      <c r="S121" s="79">
        <f t="shared" si="5"/>
        <v>61.25</v>
      </c>
    </row>
    <row r="122" spans="1:19" x14ac:dyDescent="0.2">
      <c r="A122" s="102" t="s">
        <v>4362</v>
      </c>
      <c r="B122" s="71" t="s">
        <v>4363</v>
      </c>
      <c r="C122" s="76">
        <v>60</v>
      </c>
      <c r="D122" s="72" t="s">
        <v>4328</v>
      </c>
      <c r="E122" s="73" t="s">
        <v>19</v>
      </c>
      <c r="F122" s="75">
        <v>42053</v>
      </c>
      <c r="G122" s="82">
        <f>99.75+60.45</f>
        <v>160.19999999999999</v>
      </c>
      <c r="H122" s="79"/>
      <c r="I122" s="79"/>
      <c r="J122" s="79"/>
      <c r="K122" s="79"/>
      <c r="L122" s="79"/>
      <c r="M122" s="79"/>
      <c r="N122" s="79"/>
      <c r="O122" s="79"/>
      <c r="P122" s="79"/>
      <c r="Q122" s="79">
        <f t="shared" si="3"/>
        <v>160.19999999999999</v>
      </c>
      <c r="R122" s="79">
        <f t="shared" si="4"/>
        <v>0</v>
      </c>
      <c r="S122" s="79">
        <f t="shared" si="5"/>
        <v>160.19999999999999</v>
      </c>
    </row>
    <row r="123" spans="1:19" x14ac:dyDescent="0.2">
      <c r="A123" s="102" t="s">
        <v>4364</v>
      </c>
      <c r="B123" s="71" t="s">
        <v>4365</v>
      </c>
      <c r="C123" s="76">
        <v>61</v>
      </c>
      <c r="D123" s="72" t="s">
        <v>4329</v>
      </c>
      <c r="E123" s="73" t="s">
        <v>19</v>
      </c>
      <c r="F123" s="75">
        <v>42053</v>
      </c>
      <c r="G123" s="82">
        <f>117.41</f>
        <v>117.41</v>
      </c>
      <c r="H123" s="79"/>
      <c r="I123" s="79"/>
      <c r="J123" s="79"/>
      <c r="K123" s="79"/>
      <c r="L123" s="79"/>
      <c r="M123" s="79"/>
      <c r="N123" s="79"/>
      <c r="O123" s="79"/>
      <c r="P123" s="79"/>
      <c r="Q123" s="79">
        <f t="shared" si="3"/>
        <v>117.41</v>
      </c>
      <c r="R123" s="79">
        <f t="shared" si="4"/>
        <v>0</v>
      </c>
      <c r="S123" s="79">
        <f t="shared" si="5"/>
        <v>117.41</v>
      </c>
    </row>
    <row r="124" spans="1:19" x14ac:dyDescent="0.2">
      <c r="A124" s="102" t="s">
        <v>4366</v>
      </c>
      <c r="B124" s="71" t="s">
        <v>4367</v>
      </c>
      <c r="C124" s="76">
        <v>62</v>
      </c>
      <c r="D124" s="72" t="s">
        <v>4330</v>
      </c>
      <c r="E124" s="73" t="s">
        <v>19</v>
      </c>
      <c r="F124" s="75">
        <v>42053</v>
      </c>
      <c r="G124" s="82">
        <f>354.94</f>
        <v>354.94</v>
      </c>
      <c r="H124" s="79"/>
      <c r="I124" s="79"/>
      <c r="J124" s="79"/>
      <c r="K124" s="79"/>
      <c r="L124" s="79"/>
      <c r="M124" s="79"/>
      <c r="N124" s="79"/>
      <c r="O124" s="79"/>
      <c r="P124" s="79"/>
      <c r="Q124" s="79">
        <f t="shared" si="3"/>
        <v>354.94</v>
      </c>
      <c r="R124" s="79">
        <f t="shared" si="4"/>
        <v>0</v>
      </c>
      <c r="S124" s="79">
        <f t="shared" si="5"/>
        <v>354.94</v>
      </c>
    </row>
    <row r="125" spans="1:19" x14ac:dyDescent="0.2">
      <c r="A125" s="102" t="s">
        <v>4368</v>
      </c>
      <c r="B125" s="71" t="s">
        <v>4369</v>
      </c>
      <c r="C125" s="76">
        <v>63</v>
      </c>
      <c r="D125" s="72" t="s">
        <v>4331</v>
      </c>
      <c r="E125" s="73" t="s">
        <v>19</v>
      </c>
      <c r="F125" s="75">
        <v>42053</v>
      </c>
      <c r="G125" s="82">
        <f>429.87</f>
        <v>429.87</v>
      </c>
      <c r="H125" s="79"/>
      <c r="I125" s="79"/>
      <c r="J125" s="79"/>
      <c r="K125" s="79"/>
      <c r="L125" s="79"/>
      <c r="M125" s="79"/>
      <c r="N125" s="79"/>
      <c r="O125" s="79"/>
      <c r="P125" s="79"/>
      <c r="Q125" s="79">
        <f t="shared" si="3"/>
        <v>429.87</v>
      </c>
      <c r="R125" s="79">
        <f t="shared" si="4"/>
        <v>0</v>
      </c>
      <c r="S125" s="79">
        <f t="shared" si="5"/>
        <v>429.87</v>
      </c>
    </row>
    <row r="126" spans="1:19" x14ac:dyDescent="0.2">
      <c r="A126" s="102" t="s">
        <v>4370</v>
      </c>
      <c r="B126" s="71" t="s">
        <v>4371</v>
      </c>
      <c r="C126" s="76">
        <v>64</v>
      </c>
      <c r="D126" s="72" t="s">
        <v>4332</v>
      </c>
      <c r="E126" s="73" t="s">
        <v>19</v>
      </c>
      <c r="F126" s="75">
        <v>42054</v>
      </c>
      <c r="G126" s="82">
        <f>1653.52+532.8+1000</f>
        <v>3186.3199999999997</v>
      </c>
      <c r="H126" s="79"/>
      <c r="I126" s="79"/>
      <c r="J126" s="79"/>
      <c r="K126" s="79"/>
      <c r="L126" s="79"/>
      <c r="M126" s="79"/>
      <c r="N126" s="79"/>
      <c r="O126" s="79"/>
      <c r="P126" s="79"/>
      <c r="Q126" s="79">
        <f t="shared" si="3"/>
        <v>3186.3199999999997</v>
      </c>
      <c r="R126" s="79">
        <f t="shared" si="4"/>
        <v>0</v>
      </c>
      <c r="S126" s="79">
        <f t="shared" si="5"/>
        <v>3186.3199999999997</v>
      </c>
    </row>
    <row r="127" spans="1:19" x14ac:dyDescent="0.2">
      <c r="A127" s="102" t="s">
        <v>4372</v>
      </c>
      <c r="B127" s="71" t="s">
        <v>4373</v>
      </c>
      <c r="C127" s="76">
        <v>65</v>
      </c>
      <c r="D127" s="72" t="s">
        <v>4333</v>
      </c>
      <c r="E127" s="73" t="s">
        <v>19</v>
      </c>
      <c r="F127" s="75">
        <v>42055</v>
      </c>
      <c r="G127" s="82">
        <f>617.99+242.38+41.3</f>
        <v>901.67</v>
      </c>
      <c r="H127" s="79"/>
      <c r="I127" s="79"/>
      <c r="J127" s="79"/>
      <c r="K127" s="79"/>
      <c r="L127" s="79"/>
      <c r="M127" s="79"/>
      <c r="N127" s="79"/>
      <c r="O127" s="79"/>
      <c r="P127" s="79"/>
      <c r="Q127" s="79">
        <f t="shared" si="3"/>
        <v>901.67</v>
      </c>
      <c r="R127" s="79">
        <f t="shared" si="4"/>
        <v>0</v>
      </c>
      <c r="S127" s="79">
        <f t="shared" si="5"/>
        <v>901.67</v>
      </c>
    </row>
    <row r="128" spans="1:19" x14ac:dyDescent="0.2">
      <c r="A128" s="102" t="s">
        <v>4374</v>
      </c>
      <c r="B128" s="71" t="s">
        <v>46</v>
      </c>
      <c r="C128" s="76">
        <v>66</v>
      </c>
      <c r="D128" s="72" t="s">
        <v>4334</v>
      </c>
      <c r="E128" s="73" t="s">
        <v>19</v>
      </c>
      <c r="F128" s="75">
        <v>42056</v>
      </c>
      <c r="G128" s="82">
        <f>260+41.3+206.24+87.09+677.1+128.13+41.3+351.7</f>
        <v>1792.8600000000001</v>
      </c>
      <c r="H128" s="79"/>
      <c r="I128" s="79">
        <f>300</f>
        <v>300</v>
      </c>
      <c r="J128" s="79"/>
      <c r="K128" s="79"/>
      <c r="L128" s="79"/>
      <c r="M128" s="79"/>
      <c r="N128" s="79"/>
      <c r="O128" s="79"/>
      <c r="P128" s="79"/>
      <c r="Q128" s="79">
        <f t="shared" si="3"/>
        <v>2092.86</v>
      </c>
      <c r="R128" s="79">
        <f t="shared" si="4"/>
        <v>0</v>
      </c>
      <c r="S128" s="79">
        <f t="shared" si="5"/>
        <v>2092.86</v>
      </c>
    </row>
    <row r="129" spans="1:19" x14ac:dyDescent="0.2">
      <c r="A129" s="102" t="s">
        <v>4375</v>
      </c>
      <c r="B129" s="71" t="s">
        <v>4376</v>
      </c>
      <c r="C129" s="76">
        <v>67</v>
      </c>
      <c r="D129" s="72" t="s">
        <v>4335</v>
      </c>
      <c r="E129" s="73" t="s">
        <v>19</v>
      </c>
      <c r="F129" s="75">
        <v>42056</v>
      </c>
      <c r="G129" s="82">
        <f>7210.85+67.85</f>
        <v>7278.7000000000007</v>
      </c>
      <c r="H129" s="79"/>
      <c r="I129" s="79"/>
      <c r="J129" s="79"/>
      <c r="K129" s="79"/>
      <c r="L129" s="79"/>
      <c r="M129" s="79"/>
      <c r="N129" s="79"/>
      <c r="O129" s="79"/>
      <c r="P129" s="79"/>
      <c r="Q129" s="79">
        <f t="shared" si="3"/>
        <v>7278.7000000000007</v>
      </c>
      <c r="R129" s="79">
        <f t="shared" si="4"/>
        <v>0</v>
      </c>
      <c r="S129" s="79">
        <f t="shared" si="5"/>
        <v>7278.7000000000007</v>
      </c>
    </row>
    <row r="130" spans="1:19" x14ac:dyDescent="0.2">
      <c r="A130" s="102" t="s">
        <v>4375</v>
      </c>
      <c r="B130" s="71" t="s">
        <v>4376</v>
      </c>
      <c r="C130" s="76">
        <v>67</v>
      </c>
      <c r="D130" s="72" t="s">
        <v>4336</v>
      </c>
      <c r="E130" s="73" t="s">
        <v>19</v>
      </c>
      <c r="F130" s="75">
        <v>42056</v>
      </c>
      <c r="G130" s="82">
        <f>7677.93+67.85+240</f>
        <v>7985.7800000000007</v>
      </c>
      <c r="H130" s="79"/>
      <c r="I130" s="79"/>
      <c r="J130" s="79"/>
      <c r="K130" s="79"/>
      <c r="L130" s="79"/>
      <c r="M130" s="79"/>
      <c r="N130" s="79"/>
      <c r="O130" s="79"/>
      <c r="P130" s="79"/>
      <c r="Q130" s="79">
        <f t="shared" si="3"/>
        <v>7985.7800000000007</v>
      </c>
      <c r="R130" s="79">
        <f t="shared" si="4"/>
        <v>0</v>
      </c>
      <c r="S130" s="79">
        <f t="shared" si="5"/>
        <v>7985.7800000000007</v>
      </c>
    </row>
    <row r="131" spans="1:19" x14ac:dyDescent="0.2">
      <c r="A131" s="102" t="s">
        <v>4375</v>
      </c>
      <c r="B131" s="71" t="s">
        <v>4376</v>
      </c>
      <c r="C131" s="76">
        <v>67</v>
      </c>
      <c r="D131" s="72" t="s">
        <v>4337</v>
      </c>
      <c r="E131" s="73" t="s">
        <v>19</v>
      </c>
      <c r="F131" s="75">
        <v>42056</v>
      </c>
      <c r="G131" s="82">
        <f>19218</f>
        <v>19218</v>
      </c>
      <c r="H131" s="79"/>
      <c r="I131" s="79"/>
      <c r="J131" s="79"/>
      <c r="K131" s="79"/>
      <c r="L131" s="79"/>
      <c r="M131" s="79"/>
      <c r="N131" s="79"/>
      <c r="O131" s="79"/>
      <c r="P131" s="79"/>
      <c r="Q131" s="79">
        <f t="shared" si="3"/>
        <v>19218</v>
      </c>
      <c r="R131" s="79">
        <f t="shared" si="4"/>
        <v>0</v>
      </c>
      <c r="S131" s="79">
        <f t="shared" si="5"/>
        <v>19218</v>
      </c>
    </row>
    <row r="132" spans="1:19" x14ac:dyDescent="0.2">
      <c r="A132" s="102" t="s">
        <v>4375</v>
      </c>
      <c r="B132" s="71" t="s">
        <v>4376</v>
      </c>
      <c r="C132" s="76">
        <v>67</v>
      </c>
      <c r="D132" s="72" t="s">
        <v>4338</v>
      </c>
      <c r="E132" s="73" t="s">
        <v>19</v>
      </c>
      <c r="F132" s="75">
        <v>42056</v>
      </c>
      <c r="G132" s="82">
        <f>1693.16</f>
        <v>1693.16</v>
      </c>
      <c r="H132" s="79"/>
      <c r="I132" s="79"/>
      <c r="J132" s="79"/>
      <c r="K132" s="79"/>
      <c r="L132" s="79"/>
      <c r="M132" s="79"/>
      <c r="N132" s="79"/>
      <c r="O132" s="79"/>
      <c r="P132" s="79"/>
      <c r="Q132" s="79">
        <f t="shared" si="3"/>
        <v>1693.16</v>
      </c>
      <c r="R132" s="79">
        <f t="shared" si="4"/>
        <v>0</v>
      </c>
      <c r="S132" s="79">
        <f t="shared" si="5"/>
        <v>1693.16</v>
      </c>
    </row>
    <row r="133" spans="1:19" x14ac:dyDescent="0.2">
      <c r="A133" s="102" t="s">
        <v>4377</v>
      </c>
      <c r="B133" s="71" t="s">
        <v>4378</v>
      </c>
      <c r="C133" s="76">
        <v>68</v>
      </c>
      <c r="D133" s="72" t="s">
        <v>4339</v>
      </c>
      <c r="E133" s="73" t="s">
        <v>19</v>
      </c>
      <c r="F133" s="75">
        <v>42058</v>
      </c>
      <c r="G133" s="82">
        <f>41.3+125.14+41.3+849.79+264.78+41.3+41.3+447.1+144.52</f>
        <v>1996.5299999999997</v>
      </c>
      <c r="H133" s="79"/>
      <c r="I133" s="79">
        <f>375</f>
        <v>375</v>
      </c>
      <c r="J133" s="79"/>
      <c r="K133" s="79"/>
      <c r="L133" s="79"/>
      <c r="M133" s="79"/>
      <c r="N133" s="79"/>
      <c r="O133" s="79"/>
      <c r="P133" s="79"/>
      <c r="Q133" s="79">
        <f t="shared" si="3"/>
        <v>2371.5299999999997</v>
      </c>
      <c r="R133" s="79">
        <f t="shared" si="4"/>
        <v>0</v>
      </c>
      <c r="S133" s="79">
        <f t="shared" si="5"/>
        <v>2371.5299999999997</v>
      </c>
    </row>
    <row r="134" spans="1:19" x14ac:dyDescent="0.2">
      <c r="A134" s="102" t="s">
        <v>4379</v>
      </c>
      <c r="B134" s="71" t="s">
        <v>4380</v>
      </c>
      <c r="C134" s="76">
        <v>69</v>
      </c>
      <c r="D134" s="72" t="s">
        <v>4340</v>
      </c>
      <c r="E134" s="73" t="s">
        <v>19</v>
      </c>
      <c r="F134" s="75">
        <v>42058</v>
      </c>
      <c r="G134" s="82">
        <f>390+238+3575.1</f>
        <v>4203.1000000000004</v>
      </c>
      <c r="H134" s="79"/>
      <c r="I134" s="79"/>
      <c r="J134" s="79"/>
      <c r="K134" s="79"/>
      <c r="L134" s="79"/>
      <c r="M134" s="79"/>
      <c r="N134" s="79"/>
      <c r="O134" s="79"/>
      <c r="P134" s="79"/>
      <c r="Q134" s="79">
        <f t="shared" si="3"/>
        <v>4203.1000000000004</v>
      </c>
      <c r="R134" s="79">
        <f t="shared" si="4"/>
        <v>0</v>
      </c>
      <c r="S134" s="79">
        <f t="shared" si="5"/>
        <v>4203.1000000000004</v>
      </c>
    </row>
    <row r="135" spans="1:19" x14ac:dyDescent="0.2">
      <c r="A135" s="102" t="s">
        <v>4379</v>
      </c>
      <c r="B135" s="71" t="s">
        <v>4380</v>
      </c>
      <c r="C135" s="76">
        <v>69</v>
      </c>
      <c r="D135" s="72" t="s">
        <v>4341</v>
      </c>
      <c r="E135" s="73" t="s">
        <v>19</v>
      </c>
      <c r="F135" s="75">
        <v>42058</v>
      </c>
      <c r="G135" s="82">
        <f>594</f>
        <v>594</v>
      </c>
      <c r="H135" s="79"/>
      <c r="I135" s="79"/>
      <c r="J135" s="79"/>
      <c r="K135" s="79"/>
      <c r="L135" s="79"/>
      <c r="M135" s="79"/>
      <c r="N135" s="79"/>
      <c r="O135" s="79"/>
      <c r="P135" s="79"/>
      <c r="Q135" s="79">
        <f t="shared" si="3"/>
        <v>594</v>
      </c>
      <c r="R135" s="79">
        <f t="shared" si="4"/>
        <v>0</v>
      </c>
      <c r="S135" s="79">
        <f t="shared" si="5"/>
        <v>594</v>
      </c>
    </row>
    <row r="136" spans="1:19" x14ac:dyDescent="0.2">
      <c r="A136" s="102" t="s">
        <v>4379</v>
      </c>
      <c r="B136" s="71" t="s">
        <v>4380</v>
      </c>
      <c r="C136" s="76">
        <v>69</v>
      </c>
      <c r="D136" s="72" t="s">
        <v>4940</v>
      </c>
      <c r="E136" s="73" t="s">
        <v>19</v>
      </c>
      <c r="F136" s="75">
        <v>42058</v>
      </c>
      <c r="G136" s="82">
        <f>646.2</f>
        <v>646.20000000000005</v>
      </c>
      <c r="H136" s="79"/>
      <c r="I136" s="79"/>
      <c r="J136" s="79"/>
      <c r="K136" s="79"/>
      <c r="L136" s="79"/>
      <c r="M136" s="79"/>
      <c r="N136" s="79"/>
      <c r="O136" s="79"/>
      <c r="P136" s="79"/>
      <c r="Q136" s="79">
        <f t="shared" si="3"/>
        <v>646.20000000000005</v>
      </c>
      <c r="R136" s="79">
        <f t="shared" si="4"/>
        <v>0</v>
      </c>
      <c r="S136" s="79">
        <f t="shared" si="5"/>
        <v>646.20000000000005</v>
      </c>
    </row>
    <row r="137" spans="1:19" x14ac:dyDescent="0.2">
      <c r="A137" s="102" t="s">
        <v>4379</v>
      </c>
      <c r="B137" s="71" t="s">
        <v>4380</v>
      </c>
      <c r="C137" s="76">
        <v>69</v>
      </c>
      <c r="D137" s="72" t="s">
        <v>4342</v>
      </c>
      <c r="E137" s="73" t="s">
        <v>19</v>
      </c>
      <c r="F137" s="75">
        <v>42058</v>
      </c>
      <c r="G137" s="82">
        <f>127.3</f>
        <v>127.3</v>
      </c>
      <c r="H137" s="79"/>
      <c r="I137" s="79"/>
      <c r="J137" s="79"/>
      <c r="K137" s="79"/>
      <c r="L137" s="79"/>
      <c r="M137" s="79"/>
      <c r="N137" s="79"/>
      <c r="O137" s="79"/>
      <c r="P137" s="79"/>
      <c r="Q137" s="79">
        <f t="shared" ref="Q137:Q200" si="6">+G137+I137+K137+M137+O137</f>
        <v>127.3</v>
      </c>
      <c r="R137" s="79">
        <f t="shared" ref="R137:R200" si="7">+H137+J137+L137+N137+P137</f>
        <v>0</v>
      </c>
      <c r="S137" s="79">
        <f t="shared" ref="S137:S200" si="8">+Q137+R137</f>
        <v>127.3</v>
      </c>
    </row>
    <row r="138" spans="1:19" x14ac:dyDescent="0.2">
      <c r="A138" s="102" t="s">
        <v>4379</v>
      </c>
      <c r="B138" s="71" t="s">
        <v>4380</v>
      </c>
      <c r="C138" s="76">
        <v>69</v>
      </c>
      <c r="D138" s="72" t="s">
        <v>4343</v>
      </c>
      <c r="E138" s="73" t="s">
        <v>19</v>
      </c>
      <c r="F138" s="75">
        <v>42058</v>
      </c>
      <c r="G138" s="82">
        <f>456.8</f>
        <v>456.8</v>
      </c>
      <c r="H138" s="79"/>
      <c r="I138" s="79"/>
      <c r="J138" s="79"/>
      <c r="K138" s="79"/>
      <c r="L138" s="79"/>
      <c r="M138" s="79"/>
      <c r="N138" s="79"/>
      <c r="O138" s="79"/>
      <c r="P138" s="79"/>
      <c r="Q138" s="79">
        <f t="shared" si="6"/>
        <v>456.8</v>
      </c>
      <c r="R138" s="79">
        <f t="shared" si="7"/>
        <v>0</v>
      </c>
      <c r="S138" s="79">
        <f t="shared" si="8"/>
        <v>456.8</v>
      </c>
    </row>
    <row r="139" spans="1:19" x14ac:dyDescent="0.2">
      <c r="A139" s="102" t="s">
        <v>4381</v>
      </c>
      <c r="B139" s="71" t="s">
        <v>4382</v>
      </c>
      <c r="C139" s="76">
        <v>70</v>
      </c>
      <c r="D139" s="72" t="s">
        <v>4344</v>
      </c>
      <c r="E139" s="73" t="s">
        <v>19</v>
      </c>
      <c r="F139" s="75">
        <v>42061</v>
      </c>
      <c r="G139" s="82">
        <f>13.2+241.9+436.6+955.41+127.49+121.26+96.57+127.49+47.2+149.34+145.94+92.75+558+240+47.2+57.17+236+47.2+154.26+106.45+47.2</f>
        <v>4048.6299999999992</v>
      </c>
      <c r="H139" s="79"/>
      <c r="I139" s="79">
        <f>1500+1500</f>
        <v>3000</v>
      </c>
      <c r="J139" s="79"/>
      <c r="K139" s="79"/>
      <c r="L139" s="79"/>
      <c r="M139" s="79"/>
      <c r="N139" s="79"/>
      <c r="O139" s="79"/>
      <c r="P139" s="79"/>
      <c r="Q139" s="79">
        <f t="shared" si="6"/>
        <v>7048.6299999999992</v>
      </c>
      <c r="R139" s="79">
        <f t="shared" si="7"/>
        <v>0</v>
      </c>
      <c r="S139" s="79">
        <f t="shared" si="8"/>
        <v>7048.6299999999992</v>
      </c>
    </row>
    <row r="140" spans="1:19" x14ac:dyDescent="0.2">
      <c r="A140" s="102" t="s">
        <v>4383</v>
      </c>
      <c r="B140" s="71" t="s">
        <v>4384</v>
      </c>
      <c r="C140" s="76">
        <v>71</v>
      </c>
      <c r="D140" s="72" t="s">
        <v>4345</v>
      </c>
      <c r="E140" s="73" t="s">
        <v>19</v>
      </c>
      <c r="F140" s="75">
        <v>42062</v>
      </c>
      <c r="G140" s="82">
        <f>243.5</f>
        <v>243.5</v>
      </c>
      <c r="H140" s="79"/>
      <c r="I140" s="79"/>
      <c r="J140" s="79"/>
      <c r="K140" s="79"/>
      <c r="L140" s="79"/>
      <c r="M140" s="79"/>
      <c r="N140" s="79"/>
      <c r="O140" s="79"/>
      <c r="P140" s="79"/>
      <c r="Q140" s="79">
        <f t="shared" si="6"/>
        <v>243.5</v>
      </c>
      <c r="R140" s="79">
        <f t="shared" si="7"/>
        <v>0</v>
      </c>
      <c r="S140" s="79">
        <f t="shared" si="8"/>
        <v>243.5</v>
      </c>
    </row>
    <row r="141" spans="1:19" x14ac:dyDescent="0.2">
      <c r="A141" s="102" t="s">
        <v>4385</v>
      </c>
      <c r="B141" s="71" t="s">
        <v>4386</v>
      </c>
      <c r="C141" s="76">
        <v>72</v>
      </c>
      <c r="D141" s="72" t="s">
        <v>4346</v>
      </c>
      <c r="E141" s="73" t="s">
        <v>19</v>
      </c>
      <c r="F141" s="75">
        <v>42062</v>
      </c>
      <c r="G141" s="82">
        <f>125.23</f>
        <v>125.23</v>
      </c>
      <c r="H141" s="79"/>
      <c r="I141" s="79"/>
      <c r="J141" s="79"/>
      <c r="K141" s="79"/>
      <c r="L141" s="79"/>
      <c r="M141" s="79"/>
      <c r="N141" s="79"/>
      <c r="O141" s="79"/>
      <c r="P141" s="79"/>
      <c r="Q141" s="79">
        <f t="shared" si="6"/>
        <v>125.23</v>
      </c>
      <c r="R141" s="79">
        <f t="shared" si="7"/>
        <v>0</v>
      </c>
      <c r="S141" s="79">
        <f t="shared" si="8"/>
        <v>125.23</v>
      </c>
    </row>
    <row r="142" spans="1:19" x14ac:dyDescent="0.2">
      <c r="A142" s="102" t="s">
        <v>4387</v>
      </c>
      <c r="B142" s="71" t="s">
        <v>4388</v>
      </c>
      <c r="C142" s="76">
        <v>73</v>
      </c>
      <c r="D142" s="72" t="s">
        <v>4347</v>
      </c>
      <c r="E142" s="73" t="s">
        <v>19</v>
      </c>
      <c r="F142" s="75">
        <v>42062</v>
      </c>
      <c r="G142" s="82">
        <f>50.08+5817.69+41.3+108.54+41.3+108.54+301.7+41.3+301.7+108.54+41.3+41.3+301.7+301.7+41.3+108.54</f>
        <v>7756.53</v>
      </c>
      <c r="H142" s="79"/>
      <c r="I142" s="79">
        <f>750+750+1500</f>
        <v>3000</v>
      </c>
      <c r="J142" s="79"/>
      <c r="K142" s="79"/>
      <c r="L142" s="79"/>
      <c r="M142" s="79"/>
      <c r="N142" s="79"/>
      <c r="O142" s="79"/>
      <c r="P142" s="79"/>
      <c r="Q142" s="79">
        <f t="shared" si="6"/>
        <v>10756.529999999999</v>
      </c>
      <c r="R142" s="79">
        <f t="shared" si="7"/>
        <v>0</v>
      </c>
      <c r="S142" s="79">
        <f t="shared" si="8"/>
        <v>10756.529999999999</v>
      </c>
    </row>
    <row r="143" spans="1:19" x14ac:dyDescent="0.2">
      <c r="A143" s="102" t="s">
        <v>4389</v>
      </c>
      <c r="B143" s="71" t="s">
        <v>4390</v>
      </c>
      <c r="C143" s="76">
        <v>74</v>
      </c>
      <c r="D143" s="72" t="s">
        <v>4348</v>
      </c>
      <c r="E143" s="73" t="s">
        <v>19</v>
      </c>
      <c r="F143" s="75">
        <v>42061</v>
      </c>
      <c r="G143" s="82">
        <f>80.6</f>
        <v>80.599999999999994</v>
      </c>
      <c r="H143" s="79"/>
      <c r="I143" s="79"/>
      <c r="J143" s="79"/>
      <c r="K143" s="79"/>
      <c r="L143" s="79"/>
      <c r="M143" s="79"/>
      <c r="N143" s="79"/>
      <c r="O143" s="79"/>
      <c r="P143" s="79"/>
      <c r="Q143" s="79">
        <f t="shared" si="6"/>
        <v>80.599999999999994</v>
      </c>
      <c r="R143" s="79">
        <f t="shared" si="7"/>
        <v>0</v>
      </c>
      <c r="S143" s="79">
        <f t="shared" si="8"/>
        <v>80.599999999999994</v>
      </c>
    </row>
    <row r="144" spans="1:19" x14ac:dyDescent="0.2">
      <c r="A144" s="102" t="s">
        <v>4389</v>
      </c>
      <c r="B144" s="71" t="s">
        <v>4390</v>
      </c>
      <c r="C144" s="76">
        <v>74</v>
      </c>
      <c r="D144" s="72" t="s">
        <v>4349</v>
      </c>
      <c r="E144" s="73" t="s">
        <v>19</v>
      </c>
      <c r="F144" s="75">
        <v>42061</v>
      </c>
      <c r="G144" s="82">
        <f>49.4</f>
        <v>49.4</v>
      </c>
      <c r="H144" s="79"/>
      <c r="I144" s="79"/>
      <c r="J144" s="79"/>
      <c r="K144" s="79"/>
      <c r="L144" s="79"/>
      <c r="M144" s="79"/>
      <c r="N144" s="79"/>
      <c r="O144" s="79"/>
      <c r="P144" s="79"/>
      <c r="Q144" s="79">
        <f t="shared" si="6"/>
        <v>49.4</v>
      </c>
      <c r="R144" s="79">
        <f t="shared" si="7"/>
        <v>0</v>
      </c>
      <c r="S144" s="79">
        <f t="shared" si="8"/>
        <v>49.4</v>
      </c>
    </row>
    <row r="145" spans="1:19" x14ac:dyDescent="0.2">
      <c r="A145" s="102" t="s">
        <v>4391</v>
      </c>
      <c r="B145" s="71" t="s">
        <v>4392</v>
      </c>
      <c r="C145" s="76">
        <v>75</v>
      </c>
      <c r="D145" s="72" t="s">
        <v>4350</v>
      </c>
      <c r="E145" s="73" t="s">
        <v>19</v>
      </c>
      <c r="F145" s="75">
        <v>42061</v>
      </c>
      <c r="G145" s="82">
        <f>300</f>
        <v>300</v>
      </c>
      <c r="H145" s="79"/>
      <c r="I145" s="79"/>
      <c r="J145" s="79"/>
      <c r="K145" s="79"/>
      <c r="L145" s="79"/>
      <c r="M145" s="79"/>
      <c r="N145" s="79"/>
      <c r="O145" s="79"/>
      <c r="P145" s="79"/>
      <c r="Q145" s="79">
        <f t="shared" si="6"/>
        <v>300</v>
      </c>
      <c r="R145" s="79">
        <f t="shared" si="7"/>
        <v>0</v>
      </c>
      <c r="S145" s="79">
        <f t="shared" si="8"/>
        <v>300</v>
      </c>
    </row>
    <row r="146" spans="1:19" x14ac:dyDescent="0.2">
      <c r="A146" s="102" t="s">
        <v>4393</v>
      </c>
      <c r="B146" s="71" t="s">
        <v>4394</v>
      </c>
      <c r="C146" s="76">
        <v>76</v>
      </c>
      <c r="D146" s="72" t="s">
        <v>4351</v>
      </c>
      <c r="E146" s="73" t="s">
        <v>19</v>
      </c>
      <c r="F146" s="75">
        <v>42061</v>
      </c>
      <c r="G146" s="82">
        <f>497.2</f>
        <v>497.2</v>
      </c>
      <c r="H146" s="79"/>
      <c r="I146" s="79"/>
      <c r="J146" s="79"/>
      <c r="K146" s="79"/>
      <c r="L146" s="79"/>
      <c r="M146" s="79"/>
      <c r="N146" s="79"/>
      <c r="O146" s="79"/>
      <c r="P146" s="79"/>
      <c r="Q146" s="79">
        <f t="shared" si="6"/>
        <v>497.2</v>
      </c>
      <c r="R146" s="79">
        <f t="shared" si="7"/>
        <v>0</v>
      </c>
      <c r="S146" s="79">
        <f t="shared" si="8"/>
        <v>497.2</v>
      </c>
    </row>
    <row r="147" spans="1:19" x14ac:dyDescent="0.2">
      <c r="A147" s="102" t="s">
        <v>4395</v>
      </c>
      <c r="B147" s="71" t="s">
        <v>4396</v>
      </c>
      <c r="C147" s="76">
        <v>77</v>
      </c>
      <c r="D147" s="72" t="s">
        <v>4352</v>
      </c>
      <c r="E147" s="73" t="s">
        <v>19</v>
      </c>
      <c r="F147" s="75">
        <v>42061</v>
      </c>
      <c r="G147" s="82">
        <f>165</f>
        <v>165</v>
      </c>
      <c r="H147" s="79"/>
      <c r="I147" s="79"/>
      <c r="J147" s="79"/>
      <c r="K147" s="79"/>
      <c r="L147" s="79"/>
      <c r="M147" s="79"/>
      <c r="N147" s="79"/>
      <c r="O147" s="79"/>
      <c r="P147" s="79"/>
      <c r="Q147" s="79">
        <f t="shared" si="6"/>
        <v>165</v>
      </c>
      <c r="R147" s="79">
        <f t="shared" si="7"/>
        <v>0</v>
      </c>
      <c r="S147" s="79">
        <f t="shared" si="8"/>
        <v>165</v>
      </c>
    </row>
    <row r="148" spans="1:19" x14ac:dyDescent="0.2">
      <c r="A148" s="102" t="s">
        <v>4267</v>
      </c>
      <c r="B148" s="71" t="s">
        <v>4284</v>
      </c>
      <c r="C148" s="76">
        <v>78</v>
      </c>
      <c r="D148" s="72" t="s">
        <v>4308</v>
      </c>
      <c r="E148" s="73" t="s">
        <v>19</v>
      </c>
      <c r="F148" s="75">
        <v>42061</v>
      </c>
      <c r="G148" s="82">
        <f>283.8</f>
        <v>283.8</v>
      </c>
      <c r="H148" s="79"/>
      <c r="I148" s="79"/>
      <c r="J148" s="79"/>
      <c r="K148" s="79"/>
      <c r="L148" s="79"/>
      <c r="M148" s="79"/>
      <c r="N148" s="79"/>
      <c r="O148" s="79"/>
      <c r="P148" s="79"/>
      <c r="Q148" s="79">
        <f t="shared" si="6"/>
        <v>283.8</v>
      </c>
      <c r="R148" s="79">
        <f t="shared" si="7"/>
        <v>0</v>
      </c>
      <c r="S148" s="79">
        <f t="shared" si="8"/>
        <v>283.8</v>
      </c>
    </row>
    <row r="149" spans="1:19" x14ac:dyDescent="0.2">
      <c r="A149" s="102" t="s">
        <v>4397</v>
      </c>
      <c r="B149" s="71" t="s">
        <v>4398</v>
      </c>
      <c r="C149" s="76">
        <v>79</v>
      </c>
      <c r="D149" s="72" t="s">
        <v>4954</v>
      </c>
      <c r="E149" s="73" t="s">
        <v>19</v>
      </c>
      <c r="F149" s="75">
        <v>42061</v>
      </c>
      <c r="G149" s="82">
        <f>69</f>
        <v>69</v>
      </c>
      <c r="H149" s="79"/>
      <c r="I149" s="79"/>
      <c r="J149" s="79"/>
      <c r="K149" s="79"/>
      <c r="L149" s="79"/>
      <c r="M149" s="79"/>
      <c r="N149" s="79"/>
      <c r="O149" s="79"/>
      <c r="P149" s="79"/>
      <c r="Q149" s="79">
        <f t="shared" si="6"/>
        <v>69</v>
      </c>
      <c r="R149" s="79">
        <f t="shared" si="7"/>
        <v>0</v>
      </c>
      <c r="S149" s="79">
        <f t="shared" si="8"/>
        <v>69</v>
      </c>
    </row>
    <row r="150" spans="1:19" x14ac:dyDescent="0.2">
      <c r="A150" s="102" t="s">
        <v>4397</v>
      </c>
      <c r="B150" s="71" t="s">
        <v>4398</v>
      </c>
      <c r="C150" s="76">
        <v>79</v>
      </c>
      <c r="D150" s="72" t="s">
        <v>4353</v>
      </c>
      <c r="E150" s="73" t="s">
        <v>19</v>
      </c>
      <c r="F150" s="75">
        <v>42061</v>
      </c>
      <c r="G150" s="82">
        <f>163.2</f>
        <v>163.19999999999999</v>
      </c>
      <c r="H150" s="79"/>
      <c r="I150" s="79"/>
      <c r="J150" s="79"/>
      <c r="K150" s="79"/>
      <c r="L150" s="79"/>
      <c r="M150" s="79"/>
      <c r="N150" s="79"/>
      <c r="O150" s="79"/>
      <c r="P150" s="79"/>
      <c r="Q150" s="79">
        <f t="shared" si="6"/>
        <v>163.19999999999999</v>
      </c>
      <c r="R150" s="79">
        <f t="shared" si="7"/>
        <v>0</v>
      </c>
      <c r="S150" s="79">
        <f t="shared" si="8"/>
        <v>163.19999999999999</v>
      </c>
    </row>
    <row r="151" spans="1:19" x14ac:dyDescent="0.2">
      <c r="A151" s="102" t="s">
        <v>4397</v>
      </c>
      <c r="B151" s="71" t="s">
        <v>4398</v>
      </c>
      <c r="C151" s="76">
        <v>79</v>
      </c>
      <c r="D151" s="72" t="s">
        <v>4953</v>
      </c>
      <c r="E151" s="73" t="s">
        <v>19</v>
      </c>
      <c r="F151" s="75">
        <v>42061</v>
      </c>
      <c r="G151" s="82">
        <f>48</f>
        <v>48</v>
      </c>
      <c r="H151" s="79"/>
      <c r="I151" s="79"/>
      <c r="J151" s="79"/>
      <c r="K151" s="79"/>
      <c r="L151" s="79"/>
      <c r="M151" s="79"/>
      <c r="N151" s="79"/>
      <c r="O151" s="79"/>
      <c r="P151" s="79"/>
      <c r="Q151" s="79">
        <f t="shared" si="6"/>
        <v>48</v>
      </c>
      <c r="R151" s="79">
        <f t="shared" si="7"/>
        <v>0</v>
      </c>
      <c r="S151" s="79">
        <f t="shared" si="8"/>
        <v>48</v>
      </c>
    </row>
    <row r="152" spans="1:19" x14ac:dyDescent="0.2">
      <c r="A152" s="102" t="s">
        <v>4399</v>
      </c>
      <c r="B152" s="71" t="s">
        <v>197</v>
      </c>
      <c r="C152" s="76">
        <v>80</v>
      </c>
      <c r="D152" s="72" t="s">
        <v>4354</v>
      </c>
      <c r="E152" s="73" t="s">
        <v>19</v>
      </c>
      <c r="F152" s="75">
        <v>42061</v>
      </c>
      <c r="G152" s="82">
        <f>125.5</f>
        <v>125.5</v>
      </c>
      <c r="H152" s="79"/>
      <c r="I152" s="79"/>
      <c r="J152" s="79"/>
      <c r="K152" s="79"/>
      <c r="L152" s="79"/>
      <c r="M152" s="79"/>
      <c r="N152" s="79"/>
      <c r="O152" s="79"/>
      <c r="P152" s="79"/>
      <c r="Q152" s="79">
        <f t="shared" si="6"/>
        <v>125.5</v>
      </c>
      <c r="R152" s="79">
        <f t="shared" si="7"/>
        <v>0</v>
      </c>
      <c r="S152" s="79">
        <f t="shared" si="8"/>
        <v>125.5</v>
      </c>
    </row>
    <row r="153" spans="1:19" x14ac:dyDescent="0.2">
      <c r="A153" s="102" t="s">
        <v>4399</v>
      </c>
      <c r="B153" s="71" t="s">
        <v>197</v>
      </c>
      <c r="C153" s="76">
        <v>80</v>
      </c>
      <c r="D153" s="72" t="s">
        <v>4355</v>
      </c>
      <c r="E153" s="73" t="s">
        <v>19</v>
      </c>
      <c r="F153" s="75">
        <v>42061</v>
      </c>
      <c r="G153" s="82">
        <f>69.51+496+41.3+41.3</f>
        <v>648.1099999999999</v>
      </c>
      <c r="H153" s="79"/>
      <c r="I153" s="79"/>
      <c r="J153" s="79"/>
      <c r="K153" s="79"/>
      <c r="L153" s="79"/>
      <c r="M153" s="79"/>
      <c r="N153" s="79"/>
      <c r="O153" s="79"/>
      <c r="P153" s="79"/>
      <c r="Q153" s="79">
        <f t="shared" si="6"/>
        <v>648.1099999999999</v>
      </c>
      <c r="R153" s="79">
        <f t="shared" si="7"/>
        <v>0</v>
      </c>
      <c r="S153" s="79">
        <f t="shared" si="8"/>
        <v>648.1099999999999</v>
      </c>
    </row>
    <row r="154" spans="1:19" x14ac:dyDescent="0.2">
      <c r="A154" s="102" t="s">
        <v>4399</v>
      </c>
      <c r="B154" s="71" t="s">
        <v>197</v>
      </c>
      <c r="C154" s="76">
        <v>80</v>
      </c>
      <c r="D154" s="72" t="s">
        <v>4356</v>
      </c>
      <c r="E154" s="73" t="s">
        <v>19</v>
      </c>
      <c r="F154" s="75">
        <v>42061</v>
      </c>
      <c r="G154" s="82">
        <f>113.6</f>
        <v>113.6</v>
      </c>
      <c r="H154" s="79"/>
      <c r="I154" s="79"/>
      <c r="J154" s="79"/>
      <c r="K154" s="79"/>
      <c r="L154" s="79"/>
      <c r="M154" s="79"/>
      <c r="N154" s="79"/>
      <c r="O154" s="79"/>
      <c r="P154" s="79"/>
      <c r="Q154" s="79">
        <f t="shared" si="6"/>
        <v>113.6</v>
      </c>
      <c r="R154" s="79">
        <f t="shared" si="7"/>
        <v>0</v>
      </c>
      <c r="S154" s="79">
        <f t="shared" si="8"/>
        <v>113.6</v>
      </c>
    </row>
    <row r="155" spans="1:19" x14ac:dyDescent="0.2">
      <c r="A155" s="102" t="s">
        <v>4400</v>
      </c>
      <c r="B155" s="71" t="s">
        <v>4401</v>
      </c>
      <c r="C155" s="76">
        <v>81</v>
      </c>
      <c r="D155" s="72" t="s">
        <v>4357</v>
      </c>
      <c r="E155" s="73" t="s">
        <v>19</v>
      </c>
      <c r="F155" s="75">
        <v>42061</v>
      </c>
      <c r="G155" s="82">
        <f>217</f>
        <v>217</v>
      </c>
      <c r="H155" s="79"/>
      <c r="I155" s="79"/>
      <c r="J155" s="79"/>
      <c r="K155" s="79"/>
      <c r="L155" s="79"/>
      <c r="M155" s="79"/>
      <c r="N155" s="79"/>
      <c r="O155" s="79"/>
      <c r="P155" s="79"/>
      <c r="Q155" s="79">
        <f t="shared" si="6"/>
        <v>217</v>
      </c>
      <c r="R155" s="79">
        <f t="shared" si="7"/>
        <v>0</v>
      </c>
      <c r="S155" s="79">
        <f t="shared" si="8"/>
        <v>217</v>
      </c>
    </row>
    <row r="156" spans="1:19" x14ac:dyDescent="0.2">
      <c r="A156" s="102" t="s">
        <v>4400</v>
      </c>
      <c r="B156" s="71" t="s">
        <v>4401</v>
      </c>
      <c r="C156" s="76">
        <v>81</v>
      </c>
      <c r="D156" s="72" t="s">
        <v>4358</v>
      </c>
      <c r="E156" s="73" t="s">
        <v>19</v>
      </c>
      <c r="F156" s="75">
        <v>42061</v>
      </c>
      <c r="G156" s="82">
        <f>66.71+95.73+373.66</f>
        <v>536.1</v>
      </c>
      <c r="H156" s="79"/>
      <c r="I156" s="79"/>
      <c r="J156" s="79"/>
      <c r="K156" s="79"/>
      <c r="L156" s="79"/>
      <c r="M156" s="79"/>
      <c r="N156" s="79"/>
      <c r="O156" s="79"/>
      <c r="P156" s="79"/>
      <c r="Q156" s="79">
        <f t="shared" si="6"/>
        <v>536.1</v>
      </c>
      <c r="R156" s="79">
        <f t="shared" si="7"/>
        <v>0</v>
      </c>
      <c r="S156" s="79">
        <f t="shared" si="8"/>
        <v>536.1</v>
      </c>
    </row>
    <row r="157" spans="1:19" x14ac:dyDescent="0.2">
      <c r="A157" s="102" t="s">
        <v>4402</v>
      </c>
      <c r="B157" s="71" t="s">
        <v>4403</v>
      </c>
      <c r="C157" s="76">
        <v>82</v>
      </c>
      <c r="D157" s="72" t="s">
        <v>4359</v>
      </c>
      <c r="E157" s="73" t="s">
        <v>19</v>
      </c>
      <c r="F157" s="75">
        <v>42065</v>
      </c>
      <c r="G157" s="82">
        <f>41.3+46.31+41.3+40</f>
        <v>168.91</v>
      </c>
      <c r="H157" s="79"/>
      <c r="I157" s="79"/>
      <c r="J157" s="79"/>
      <c r="K157" s="79"/>
      <c r="L157" s="79"/>
      <c r="M157" s="79"/>
      <c r="N157" s="79"/>
      <c r="O157" s="79"/>
      <c r="P157" s="79"/>
      <c r="Q157" s="79">
        <f t="shared" si="6"/>
        <v>168.91</v>
      </c>
      <c r="R157" s="79">
        <f t="shared" si="7"/>
        <v>0</v>
      </c>
      <c r="S157" s="79">
        <f t="shared" si="8"/>
        <v>168.91</v>
      </c>
    </row>
    <row r="158" spans="1:19" x14ac:dyDescent="0.2">
      <c r="A158" s="102" t="s">
        <v>4402</v>
      </c>
      <c r="B158" s="71" t="s">
        <v>4403</v>
      </c>
      <c r="C158" s="76">
        <v>82</v>
      </c>
      <c r="D158" s="72" t="s">
        <v>4955</v>
      </c>
      <c r="E158" s="73" t="s">
        <v>19</v>
      </c>
      <c r="F158" s="75">
        <v>42065</v>
      </c>
      <c r="G158" s="82">
        <f>41.3+40+41.3</f>
        <v>122.6</v>
      </c>
      <c r="H158" s="79"/>
      <c r="I158" s="79"/>
      <c r="J158" s="79"/>
      <c r="K158" s="79"/>
      <c r="L158" s="79"/>
      <c r="M158" s="79"/>
      <c r="N158" s="79"/>
      <c r="O158" s="79"/>
      <c r="P158" s="79"/>
      <c r="Q158" s="79">
        <f t="shared" si="6"/>
        <v>122.6</v>
      </c>
      <c r="R158" s="79">
        <f t="shared" si="7"/>
        <v>0</v>
      </c>
      <c r="S158" s="79">
        <f t="shared" si="8"/>
        <v>122.6</v>
      </c>
    </row>
    <row r="159" spans="1:19" x14ac:dyDescent="0.2">
      <c r="A159" s="102" t="s">
        <v>4406</v>
      </c>
      <c r="B159" s="71" t="s">
        <v>4438</v>
      </c>
      <c r="C159" s="76">
        <v>83</v>
      </c>
      <c r="D159" s="72" t="s">
        <v>4468</v>
      </c>
      <c r="E159" s="73" t="s">
        <v>19</v>
      </c>
      <c r="F159" s="75">
        <v>42069</v>
      </c>
      <c r="G159" s="82">
        <f>848+390+18000</f>
        <v>19238</v>
      </c>
      <c r="H159" s="79"/>
      <c r="I159" s="79"/>
      <c r="J159" s="79"/>
      <c r="K159" s="79"/>
      <c r="L159" s="79"/>
      <c r="M159" s="79"/>
      <c r="N159" s="79"/>
      <c r="O159" s="79"/>
      <c r="P159" s="79"/>
      <c r="Q159" s="79">
        <f t="shared" si="6"/>
        <v>19238</v>
      </c>
      <c r="R159" s="79">
        <f t="shared" si="7"/>
        <v>0</v>
      </c>
      <c r="S159" s="79">
        <f t="shared" si="8"/>
        <v>19238</v>
      </c>
    </row>
    <row r="160" spans="1:19" x14ac:dyDescent="0.2">
      <c r="A160" s="102" t="s">
        <v>4406</v>
      </c>
      <c r="B160" s="71" t="s">
        <v>4438</v>
      </c>
      <c r="C160" s="76">
        <v>83</v>
      </c>
      <c r="D160" s="72" t="s">
        <v>4469</v>
      </c>
      <c r="E160" s="73" t="s">
        <v>19</v>
      </c>
      <c r="F160" s="75">
        <v>42069</v>
      </c>
      <c r="G160" s="82">
        <f>85.7</f>
        <v>85.7</v>
      </c>
      <c r="H160" s="79"/>
      <c r="I160" s="79"/>
      <c r="J160" s="79"/>
      <c r="K160" s="79"/>
      <c r="L160" s="79"/>
      <c r="M160" s="79"/>
      <c r="N160" s="79"/>
      <c r="O160" s="79"/>
      <c r="P160" s="79"/>
      <c r="Q160" s="79">
        <f t="shared" si="6"/>
        <v>85.7</v>
      </c>
      <c r="R160" s="79">
        <f t="shared" si="7"/>
        <v>0</v>
      </c>
      <c r="S160" s="79">
        <f t="shared" si="8"/>
        <v>85.7</v>
      </c>
    </row>
    <row r="161" spans="1:19" x14ac:dyDescent="0.2">
      <c r="A161" s="102" t="s">
        <v>4407</v>
      </c>
      <c r="B161" s="71" t="s">
        <v>4439</v>
      </c>
      <c r="C161" s="76">
        <v>84</v>
      </c>
      <c r="D161" s="72" t="s">
        <v>4470</v>
      </c>
      <c r="E161" s="73" t="s">
        <v>73</v>
      </c>
      <c r="F161" s="75">
        <v>42072</v>
      </c>
      <c r="G161" s="82">
        <v>155</v>
      </c>
      <c r="H161" s="79"/>
      <c r="I161" s="79">
        <f>475</f>
        <v>475</v>
      </c>
      <c r="J161" s="79"/>
      <c r="K161" s="79"/>
      <c r="L161" s="79"/>
      <c r="M161" s="79"/>
      <c r="N161" s="79"/>
      <c r="O161" s="79"/>
      <c r="P161" s="79"/>
      <c r="Q161" s="79">
        <f t="shared" si="6"/>
        <v>630</v>
      </c>
      <c r="R161" s="79">
        <f t="shared" si="7"/>
        <v>0</v>
      </c>
      <c r="S161" s="79">
        <f t="shared" si="8"/>
        <v>630</v>
      </c>
    </row>
    <row r="162" spans="1:19" x14ac:dyDescent="0.2">
      <c r="A162" s="102" t="s">
        <v>4408</v>
      </c>
      <c r="B162" s="71" t="s">
        <v>4440</v>
      </c>
      <c r="C162" s="76">
        <v>85</v>
      </c>
      <c r="D162" s="72" t="s">
        <v>4471</v>
      </c>
      <c r="E162" s="73" t="s">
        <v>19</v>
      </c>
      <c r="F162" s="75">
        <v>42072</v>
      </c>
      <c r="G162" s="82">
        <f>229.83+125.27+120.07+41.3+121.44+41.3+401.85+221.57+922.25+154.37+301.7+179.51+219.97+174.24+154.33+301.7+154.33+301.7+160+154.33+481.3+154.33+301.7+41.3+481.3</f>
        <v>5940.99</v>
      </c>
      <c r="H162" s="79"/>
      <c r="I162" s="79">
        <f>1500+1500+850</f>
        <v>3850</v>
      </c>
      <c r="J162" s="79"/>
      <c r="K162" s="79"/>
      <c r="L162" s="79"/>
      <c r="M162" s="79"/>
      <c r="N162" s="79"/>
      <c r="O162" s="79"/>
      <c r="P162" s="79"/>
      <c r="Q162" s="79">
        <f t="shared" si="6"/>
        <v>9790.99</v>
      </c>
      <c r="R162" s="79">
        <f t="shared" si="7"/>
        <v>0</v>
      </c>
      <c r="S162" s="79">
        <f t="shared" si="8"/>
        <v>9790.99</v>
      </c>
    </row>
    <row r="163" spans="1:19" x14ac:dyDescent="0.2">
      <c r="A163" s="102" t="s">
        <v>4409</v>
      </c>
      <c r="B163" s="71" t="s">
        <v>4441</v>
      </c>
      <c r="C163" s="76">
        <v>86</v>
      </c>
      <c r="D163" s="72" t="s">
        <v>4472</v>
      </c>
      <c r="E163" s="73" t="s">
        <v>19</v>
      </c>
      <c r="F163" s="75">
        <v>42072</v>
      </c>
      <c r="G163" s="82">
        <f>158.9+134.77</f>
        <v>293.67</v>
      </c>
      <c r="H163" s="79"/>
      <c r="I163" s="79"/>
      <c r="J163" s="79"/>
      <c r="K163" s="79"/>
      <c r="L163" s="79"/>
      <c r="M163" s="79"/>
      <c r="N163" s="79"/>
      <c r="O163" s="79"/>
      <c r="P163" s="79"/>
      <c r="Q163" s="79">
        <f t="shared" si="6"/>
        <v>293.67</v>
      </c>
      <c r="R163" s="79">
        <f t="shared" si="7"/>
        <v>0</v>
      </c>
      <c r="S163" s="79">
        <f t="shared" si="8"/>
        <v>293.67</v>
      </c>
    </row>
    <row r="164" spans="1:19" x14ac:dyDescent="0.2">
      <c r="A164" s="102" t="s">
        <v>4410</v>
      </c>
      <c r="B164" s="71" t="s">
        <v>4442</v>
      </c>
      <c r="C164" s="76">
        <v>87</v>
      </c>
      <c r="D164" s="72" t="s">
        <v>4473</v>
      </c>
      <c r="E164" s="73" t="s">
        <v>19</v>
      </c>
      <c r="F164" s="75">
        <v>36962</v>
      </c>
      <c r="G164" s="82">
        <f>142.6</f>
        <v>142.6</v>
      </c>
      <c r="H164" s="79"/>
      <c r="I164" s="79"/>
      <c r="J164" s="79"/>
      <c r="K164" s="79"/>
      <c r="L164" s="79"/>
      <c r="M164" s="79"/>
      <c r="N164" s="79"/>
      <c r="O164" s="79"/>
      <c r="P164" s="79"/>
      <c r="Q164" s="79">
        <f t="shared" si="6"/>
        <v>142.6</v>
      </c>
      <c r="R164" s="79">
        <f t="shared" si="7"/>
        <v>0</v>
      </c>
      <c r="S164" s="79">
        <f t="shared" si="8"/>
        <v>142.6</v>
      </c>
    </row>
    <row r="165" spans="1:19" x14ac:dyDescent="0.2">
      <c r="A165" s="102" t="s">
        <v>4411</v>
      </c>
      <c r="B165" s="71" t="s">
        <v>4443</v>
      </c>
      <c r="C165" s="76">
        <v>88</v>
      </c>
      <c r="D165" s="72" t="s">
        <v>4474</v>
      </c>
      <c r="E165" s="73" t="s">
        <v>19</v>
      </c>
      <c r="F165" s="75">
        <v>42075</v>
      </c>
      <c r="G165" s="82">
        <f>400.49</f>
        <v>400.49</v>
      </c>
      <c r="H165" s="79"/>
      <c r="I165" s="79"/>
      <c r="J165" s="79"/>
      <c r="K165" s="79"/>
      <c r="L165" s="79"/>
      <c r="M165" s="79"/>
      <c r="N165" s="79"/>
      <c r="O165" s="79"/>
      <c r="P165" s="79"/>
      <c r="Q165" s="79">
        <f t="shared" si="6"/>
        <v>400.49</v>
      </c>
      <c r="R165" s="79">
        <f t="shared" si="7"/>
        <v>0</v>
      </c>
      <c r="S165" s="79">
        <f t="shared" si="8"/>
        <v>400.49</v>
      </c>
    </row>
    <row r="166" spans="1:19" x14ac:dyDescent="0.2">
      <c r="A166" s="102" t="s">
        <v>4412</v>
      </c>
      <c r="B166" s="71" t="s">
        <v>4444</v>
      </c>
      <c r="C166" s="76">
        <v>89</v>
      </c>
      <c r="D166" s="72" t="s">
        <v>4475</v>
      </c>
      <c r="E166" s="73" t="s">
        <v>19</v>
      </c>
      <c r="F166" s="75">
        <v>42076</v>
      </c>
      <c r="G166" s="82">
        <f>376+238</f>
        <v>614</v>
      </c>
      <c r="H166" s="79"/>
      <c r="I166" s="79"/>
      <c r="J166" s="79"/>
      <c r="K166" s="79"/>
      <c r="L166" s="79"/>
      <c r="M166" s="79"/>
      <c r="N166" s="79"/>
      <c r="O166" s="79"/>
      <c r="P166" s="79"/>
      <c r="Q166" s="79">
        <f t="shared" si="6"/>
        <v>614</v>
      </c>
      <c r="R166" s="79">
        <f t="shared" si="7"/>
        <v>0</v>
      </c>
      <c r="S166" s="79">
        <f t="shared" si="8"/>
        <v>614</v>
      </c>
    </row>
    <row r="167" spans="1:19" x14ac:dyDescent="0.2">
      <c r="A167" s="102" t="s">
        <v>4413</v>
      </c>
      <c r="B167" s="71" t="s">
        <v>4445</v>
      </c>
      <c r="C167" s="76">
        <v>90</v>
      </c>
      <c r="D167" s="72" t="s">
        <v>4476</v>
      </c>
      <c r="E167" s="73" t="s">
        <v>19</v>
      </c>
      <c r="F167" s="75">
        <v>42077</v>
      </c>
      <c r="G167" s="82">
        <f>49.5</f>
        <v>49.5</v>
      </c>
      <c r="H167" s="79"/>
      <c r="I167" s="79"/>
      <c r="J167" s="79"/>
      <c r="K167" s="79"/>
      <c r="L167" s="79"/>
      <c r="M167" s="79"/>
      <c r="N167" s="79"/>
      <c r="O167" s="79"/>
      <c r="P167" s="79"/>
      <c r="Q167" s="79">
        <f t="shared" si="6"/>
        <v>49.5</v>
      </c>
      <c r="R167" s="79">
        <f t="shared" si="7"/>
        <v>0</v>
      </c>
      <c r="S167" s="79">
        <f t="shared" si="8"/>
        <v>49.5</v>
      </c>
    </row>
    <row r="168" spans="1:19" x14ac:dyDescent="0.2">
      <c r="A168" s="102" t="s">
        <v>4413</v>
      </c>
      <c r="B168" s="71" t="s">
        <v>4445</v>
      </c>
      <c r="C168" s="76">
        <v>90</v>
      </c>
      <c r="D168" s="72" t="s">
        <v>4956</v>
      </c>
      <c r="E168" s="73" t="s">
        <v>19</v>
      </c>
      <c r="F168" s="75">
        <v>42077</v>
      </c>
      <c r="G168" s="82">
        <f>49.7</f>
        <v>49.7</v>
      </c>
      <c r="H168" s="79"/>
      <c r="I168" s="79"/>
      <c r="J168" s="79"/>
      <c r="K168" s="79"/>
      <c r="L168" s="79"/>
      <c r="M168" s="79"/>
      <c r="N168" s="79"/>
      <c r="O168" s="79"/>
      <c r="P168" s="79"/>
      <c r="Q168" s="79">
        <f t="shared" si="6"/>
        <v>49.7</v>
      </c>
      <c r="R168" s="79">
        <f t="shared" si="7"/>
        <v>0</v>
      </c>
      <c r="S168" s="79">
        <f t="shared" si="8"/>
        <v>49.7</v>
      </c>
    </row>
    <row r="169" spans="1:19" x14ac:dyDescent="0.2">
      <c r="A169" s="102" t="s">
        <v>4413</v>
      </c>
      <c r="B169" s="71" t="s">
        <v>4445</v>
      </c>
      <c r="C169" s="76">
        <v>90</v>
      </c>
      <c r="D169" s="72" t="s">
        <v>4477</v>
      </c>
      <c r="E169" s="73" t="s">
        <v>19</v>
      </c>
      <c r="F169" s="75">
        <v>42077</v>
      </c>
      <c r="G169" s="82">
        <f>40.8</f>
        <v>40.799999999999997</v>
      </c>
      <c r="H169" s="79"/>
      <c r="I169" s="79"/>
      <c r="J169" s="79"/>
      <c r="K169" s="79"/>
      <c r="L169" s="79"/>
      <c r="M169" s="79"/>
      <c r="N169" s="79"/>
      <c r="O169" s="79"/>
      <c r="P169" s="79"/>
      <c r="Q169" s="79">
        <f t="shared" si="6"/>
        <v>40.799999999999997</v>
      </c>
      <c r="R169" s="79">
        <f t="shared" si="7"/>
        <v>0</v>
      </c>
      <c r="S169" s="79">
        <f t="shared" si="8"/>
        <v>40.799999999999997</v>
      </c>
    </row>
    <row r="170" spans="1:19" x14ac:dyDescent="0.2">
      <c r="A170" s="102" t="s">
        <v>4413</v>
      </c>
      <c r="B170" s="71" t="s">
        <v>4445</v>
      </c>
      <c r="C170" s="76">
        <v>90</v>
      </c>
      <c r="D170" s="72" t="s">
        <v>4478</v>
      </c>
      <c r="E170" s="73" t="s">
        <v>19</v>
      </c>
      <c r="F170" s="75">
        <v>42077</v>
      </c>
      <c r="G170" s="82">
        <f>105.5</f>
        <v>105.5</v>
      </c>
      <c r="H170" s="79"/>
      <c r="I170" s="79"/>
      <c r="J170" s="79"/>
      <c r="K170" s="79"/>
      <c r="L170" s="79"/>
      <c r="M170" s="79"/>
      <c r="N170" s="79"/>
      <c r="O170" s="79"/>
      <c r="P170" s="79"/>
      <c r="Q170" s="79">
        <f t="shared" si="6"/>
        <v>105.5</v>
      </c>
      <c r="R170" s="79">
        <f t="shared" si="7"/>
        <v>0</v>
      </c>
      <c r="S170" s="79">
        <f t="shared" si="8"/>
        <v>105.5</v>
      </c>
    </row>
    <row r="171" spans="1:19" x14ac:dyDescent="0.2">
      <c r="A171" s="102" t="s">
        <v>4413</v>
      </c>
      <c r="B171" s="71" t="s">
        <v>4445</v>
      </c>
      <c r="C171" s="76">
        <v>90</v>
      </c>
      <c r="D171" s="72" t="s">
        <v>4479</v>
      </c>
      <c r="E171" s="73" t="s">
        <v>19</v>
      </c>
      <c r="F171" s="75">
        <v>42077</v>
      </c>
      <c r="G171" s="82"/>
      <c r="H171" s="79"/>
      <c r="I171" s="79"/>
      <c r="J171" s="79"/>
      <c r="K171" s="79"/>
      <c r="L171" s="79"/>
      <c r="M171" s="79"/>
      <c r="N171" s="79"/>
      <c r="O171" s="79"/>
      <c r="P171" s="79"/>
      <c r="Q171" s="79">
        <f t="shared" si="6"/>
        <v>0</v>
      </c>
      <c r="R171" s="79">
        <f t="shared" si="7"/>
        <v>0</v>
      </c>
      <c r="S171" s="79">
        <f t="shared" si="8"/>
        <v>0</v>
      </c>
    </row>
    <row r="172" spans="1:19" x14ac:dyDescent="0.2">
      <c r="A172" s="102" t="s">
        <v>4413</v>
      </c>
      <c r="B172" s="71" t="s">
        <v>4445</v>
      </c>
      <c r="C172" s="76">
        <v>90</v>
      </c>
      <c r="D172" s="72" t="s">
        <v>4507</v>
      </c>
      <c r="E172" s="73" t="s">
        <v>19</v>
      </c>
      <c r="F172" s="75">
        <v>42077</v>
      </c>
      <c r="G172" s="82">
        <f>105.8</f>
        <v>105.8</v>
      </c>
      <c r="H172" s="79"/>
      <c r="I172" s="79"/>
      <c r="J172" s="79"/>
      <c r="K172" s="79"/>
      <c r="L172" s="79"/>
      <c r="M172" s="79"/>
      <c r="N172" s="79"/>
      <c r="O172" s="79"/>
      <c r="P172" s="79"/>
      <c r="Q172" s="79">
        <f t="shared" si="6"/>
        <v>105.8</v>
      </c>
      <c r="R172" s="79">
        <f t="shared" si="7"/>
        <v>0</v>
      </c>
      <c r="S172" s="79">
        <f t="shared" si="8"/>
        <v>105.8</v>
      </c>
    </row>
    <row r="173" spans="1:19" x14ac:dyDescent="0.2">
      <c r="A173" s="102" t="s">
        <v>4414</v>
      </c>
      <c r="B173" s="71" t="s">
        <v>4446</v>
      </c>
      <c r="C173" s="76">
        <v>91</v>
      </c>
      <c r="D173" s="72" t="s">
        <v>4480</v>
      </c>
      <c r="E173" s="73" t="s">
        <v>19</v>
      </c>
      <c r="F173" s="75">
        <v>42079</v>
      </c>
      <c r="G173" s="82">
        <f>133.8</f>
        <v>133.80000000000001</v>
      </c>
      <c r="H173" s="79"/>
      <c r="I173" s="79"/>
      <c r="J173" s="79"/>
      <c r="K173" s="79"/>
      <c r="L173" s="79"/>
      <c r="M173" s="79"/>
      <c r="N173" s="79"/>
      <c r="O173" s="79"/>
      <c r="P173" s="79"/>
      <c r="Q173" s="79">
        <f t="shared" si="6"/>
        <v>133.80000000000001</v>
      </c>
      <c r="R173" s="79">
        <f t="shared" si="7"/>
        <v>0</v>
      </c>
      <c r="S173" s="79">
        <f t="shared" si="8"/>
        <v>133.80000000000001</v>
      </c>
    </row>
    <row r="174" spans="1:19" x14ac:dyDescent="0.2">
      <c r="A174" s="102" t="s">
        <v>4415</v>
      </c>
      <c r="B174" s="71" t="s">
        <v>4447</v>
      </c>
      <c r="C174" s="76">
        <v>92</v>
      </c>
      <c r="D174" s="72" t="s">
        <v>4481</v>
      </c>
      <c r="E174" s="73" t="s">
        <v>19</v>
      </c>
      <c r="F174" s="75">
        <v>42079</v>
      </c>
      <c r="G174" s="82">
        <f>202.78</f>
        <v>202.78</v>
      </c>
      <c r="H174" s="79"/>
      <c r="I174" s="79"/>
      <c r="J174" s="79"/>
      <c r="K174" s="79"/>
      <c r="L174" s="79"/>
      <c r="M174" s="79"/>
      <c r="N174" s="79"/>
      <c r="O174" s="79"/>
      <c r="P174" s="79"/>
      <c r="Q174" s="79">
        <f t="shared" si="6"/>
        <v>202.78</v>
      </c>
      <c r="R174" s="79">
        <f t="shared" si="7"/>
        <v>0</v>
      </c>
      <c r="S174" s="79">
        <f t="shared" si="8"/>
        <v>202.78</v>
      </c>
    </row>
    <row r="175" spans="1:19" x14ac:dyDescent="0.2">
      <c r="A175" s="102" t="s">
        <v>4416</v>
      </c>
      <c r="B175" s="71" t="s">
        <v>4448</v>
      </c>
      <c r="C175" s="76">
        <v>93</v>
      </c>
      <c r="D175" s="72" t="s">
        <v>4482</v>
      </c>
      <c r="E175" s="73" t="s">
        <v>73</v>
      </c>
      <c r="F175" s="75">
        <v>42079</v>
      </c>
      <c r="G175" s="82">
        <f>38+15</f>
        <v>53</v>
      </c>
      <c r="H175" s="79"/>
      <c r="I175" s="79"/>
      <c r="J175" s="79"/>
      <c r="K175" s="79"/>
      <c r="L175" s="79"/>
      <c r="M175" s="79"/>
      <c r="N175" s="79"/>
      <c r="O175" s="79"/>
      <c r="P175" s="79"/>
      <c r="Q175" s="79">
        <f t="shared" si="6"/>
        <v>53</v>
      </c>
      <c r="R175" s="79">
        <f t="shared" si="7"/>
        <v>0</v>
      </c>
      <c r="S175" s="79">
        <f t="shared" si="8"/>
        <v>53</v>
      </c>
    </row>
    <row r="176" spans="1:19" x14ac:dyDescent="0.2">
      <c r="A176" s="102" t="s">
        <v>4417</v>
      </c>
      <c r="B176" s="71" t="s">
        <v>4449</v>
      </c>
      <c r="C176" s="76">
        <v>94</v>
      </c>
      <c r="D176" s="72" t="s">
        <v>4483</v>
      </c>
      <c r="E176" s="73" t="s">
        <v>73</v>
      </c>
      <c r="F176" s="75">
        <v>42079</v>
      </c>
      <c r="G176" s="82">
        <f>105+132</f>
        <v>237</v>
      </c>
      <c r="H176" s="79"/>
      <c r="I176" s="79"/>
      <c r="J176" s="79"/>
      <c r="K176" s="79"/>
      <c r="L176" s="79"/>
      <c r="M176" s="79"/>
      <c r="N176" s="79"/>
      <c r="O176" s="79"/>
      <c r="P176" s="79"/>
      <c r="Q176" s="79">
        <f t="shared" si="6"/>
        <v>237</v>
      </c>
      <c r="R176" s="79">
        <f t="shared" si="7"/>
        <v>0</v>
      </c>
      <c r="S176" s="79">
        <f t="shared" si="8"/>
        <v>237</v>
      </c>
    </row>
    <row r="177" spans="1:19" x14ac:dyDescent="0.2">
      <c r="A177" s="102" t="s">
        <v>4418</v>
      </c>
      <c r="B177" s="71" t="s">
        <v>4450</v>
      </c>
      <c r="C177" s="76">
        <v>95</v>
      </c>
      <c r="D177" s="72" t="s">
        <v>4484</v>
      </c>
      <c r="E177" s="73" t="s">
        <v>19</v>
      </c>
      <c r="F177" s="75">
        <v>42079</v>
      </c>
      <c r="G177" s="82">
        <f>125</f>
        <v>125</v>
      </c>
      <c r="H177" s="79"/>
      <c r="I177" s="79"/>
      <c r="J177" s="79"/>
      <c r="K177" s="79"/>
      <c r="L177" s="79"/>
      <c r="M177" s="79"/>
      <c r="N177" s="79"/>
      <c r="O177" s="79"/>
      <c r="P177" s="79"/>
      <c r="Q177" s="79">
        <f t="shared" si="6"/>
        <v>125</v>
      </c>
      <c r="R177" s="79">
        <f t="shared" si="7"/>
        <v>0</v>
      </c>
      <c r="S177" s="79">
        <f t="shared" si="8"/>
        <v>125</v>
      </c>
    </row>
    <row r="178" spans="1:19" x14ac:dyDescent="0.2">
      <c r="A178" s="102" t="s">
        <v>4419</v>
      </c>
      <c r="B178" s="71" t="s">
        <v>4451</v>
      </c>
      <c r="C178" s="76">
        <v>96</v>
      </c>
      <c r="D178" s="72" t="s">
        <v>4485</v>
      </c>
      <c r="E178" s="73" t="s">
        <v>19</v>
      </c>
      <c r="F178" s="75">
        <v>42079</v>
      </c>
      <c r="G178" s="82">
        <f>41.4</f>
        <v>41.4</v>
      </c>
      <c r="H178" s="79"/>
      <c r="I178" s="79"/>
      <c r="J178" s="79"/>
      <c r="K178" s="79"/>
      <c r="L178" s="79"/>
      <c r="M178" s="79"/>
      <c r="N178" s="79"/>
      <c r="O178" s="79"/>
      <c r="P178" s="79"/>
      <c r="Q178" s="79">
        <f t="shared" si="6"/>
        <v>41.4</v>
      </c>
      <c r="R178" s="79">
        <f t="shared" si="7"/>
        <v>0</v>
      </c>
      <c r="S178" s="79">
        <f t="shared" si="8"/>
        <v>41.4</v>
      </c>
    </row>
    <row r="179" spans="1:19" x14ac:dyDescent="0.2">
      <c r="A179" s="102" t="s">
        <v>4419</v>
      </c>
      <c r="B179" s="71" t="s">
        <v>4451</v>
      </c>
      <c r="C179" s="76">
        <v>96</v>
      </c>
      <c r="D179" s="72" t="s">
        <v>4486</v>
      </c>
      <c r="E179" s="73" t="s">
        <v>19</v>
      </c>
      <c r="F179" s="75">
        <v>42079</v>
      </c>
      <c r="G179" s="82">
        <f>173</f>
        <v>173</v>
      </c>
      <c r="H179" s="79"/>
      <c r="I179" s="79"/>
      <c r="J179" s="79"/>
      <c r="K179" s="79"/>
      <c r="L179" s="79"/>
      <c r="M179" s="79"/>
      <c r="N179" s="79"/>
      <c r="O179" s="79"/>
      <c r="P179" s="79"/>
      <c r="Q179" s="79">
        <f t="shared" si="6"/>
        <v>173</v>
      </c>
      <c r="R179" s="79">
        <f t="shared" si="7"/>
        <v>0</v>
      </c>
      <c r="S179" s="79">
        <f t="shared" si="8"/>
        <v>173</v>
      </c>
    </row>
    <row r="180" spans="1:19" x14ac:dyDescent="0.2">
      <c r="A180" s="102" t="s">
        <v>4420</v>
      </c>
      <c r="B180" s="71" t="s">
        <v>4452</v>
      </c>
      <c r="C180" s="76">
        <v>97</v>
      </c>
      <c r="D180" s="72" t="s">
        <v>4487</v>
      </c>
      <c r="E180" s="73" t="s">
        <v>19</v>
      </c>
      <c r="F180" s="75">
        <v>42079</v>
      </c>
      <c r="G180" s="82">
        <f>137.7</f>
        <v>137.69999999999999</v>
      </c>
      <c r="H180" s="79"/>
      <c r="I180" s="79"/>
      <c r="J180" s="79"/>
      <c r="K180" s="79"/>
      <c r="L180" s="79"/>
      <c r="M180" s="79"/>
      <c r="N180" s="79"/>
      <c r="O180" s="79"/>
      <c r="P180" s="79"/>
      <c r="Q180" s="79">
        <f t="shared" si="6"/>
        <v>137.69999999999999</v>
      </c>
      <c r="R180" s="79">
        <f t="shared" si="7"/>
        <v>0</v>
      </c>
      <c r="S180" s="79">
        <f t="shared" si="8"/>
        <v>137.69999999999999</v>
      </c>
    </row>
    <row r="181" spans="1:19" x14ac:dyDescent="0.2">
      <c r="A181" s="102" t="s">
        <v>4421</v>
      </c>
      <c r="B181" s="71" t="s">
        <v>4453</v>
      </c>
      <c r="C181" s="76">
        <v>98</v>
      </c>
      <c r="D181" s="72" t="s">
        <v>4488</v>
      </c>
      <c r="E181" s="73" t="s">
        <v>19</v>
      </c>
      <c r="F181" s="75">
        <v>42079</v>
      </c>
      <c r="G181" s="82">
        <f>400</f>
        <v>400</v>
      </c>
      <c r="H181" s="79"/>
      <c r="I181" s="79"/>
      <c r="J181" s="79"/>
      <c r="K181" s="79"/>
      <c r="L181" s="79"/>
      <c r="M181" s="79"/>
      <c r="N181" s="79"/>
      <c r="O181" s="79"/>
      <c r="P181" s="79"/>
      <c r="Q181" s="79">
        <f t="shared" si="6"/>
        <v>400</v>
      </c>
      <c r="R181" s="79">
        <f t="shared" si="7"/>
        <v>0</v>
      </c>
      <c r="S181" s="79">
        <f t="shared" si="8"/>
        <v>400</v>
      </c>
    </row>
    <row r="182" spans="1:19" x14ac:dyDescent="0.2">
      <c r="A182" s="102"/>
      <c r="B182" s="71"/>
      <c r="C182" s="76">
        <v>99</v>
      </c>
      <c r="D182" s="72" t="s">
        <v>4784</v>
      </c>
      <c r="E182" s="73"/>
      <c r="F182" s="75"/>
      <c r="G182" s="82"/>
      <c r="H182" s="79"/>
      <c r="I182" s="79"/>
      <c r="J182" s="79"/>
      <c r="K182" s="79"/>
      <c r="L182" s="79"/>
      <c r="M182" s="79"/>
      <c r="N182" s="79"/>
      <c r="O182" s="79"/>
      <c r="P182" s="79"/>
      <c r="Q182" s="79">
        <f t="shared" si="6"/>
        <v>0</v>
      </c>
      <c r="R182" s="79">
        <f t="shared" si="7"/>
        <v>0</v>
      </c>
      <c r="S182" s="79">
        <f t="shared" si="8"/>
        <v>0</v>
      </c>
    </row>
    <row r="183" spans="1:19" x14ac:dyDescent="0.2">
      <c r="A183" s="102" t="s">
        <v>4422</v>
      </c>
      <c r="B183" s="71" t="s">
        <v>4454</v>
      </c>
      <c r="C183" s="76">
        <v>100</v>
      </c>
      <c r="D183" s="72" t="s">
        <v>4489</v>
      </c>
      <c r="E183" s="73" t="s">
        <v>19</v>
      </c>
      <c r="F183" s="75">
        <v>42079</v>
      </c>
      <c r="G183" s="82">
        <f>117.6</f>
        <v>117.6</v>
      </c>
      <c r="H183" s="79"/>
      <c r="I183" s="79"/>
      <c r="J183" s="79"/>
      <c r="K183" s="79"/>
      <c r="L183" s="79"/>
      <c r="M183" s="79"/>
      <c r="N183" s="79"/>
      <c r="O183" s="79"/>
      <c r="P183" s="79"/>
      <c r="Q183" s="79">
        <f t="shared" si="6"/>
        <v>117.6</v>
      </c>
      <c r="R183" s="79">
        <f t="shared" si="7"/>
        <v>0</v>
      </c>
      <c r="S183" s="79">
        <f t="shared" si="8"/>
        <v>117.6</v>
      </c>
    </row>
    <row r="184" spans="1:19" x14ac:dyDescent="0.2">
      <c r="A184" s="102" t="s">
        <v>4422</v>
      </c>
      <c r="B184" s="71" t="s">
        <v>4454</v>
      </c>
      <c r="C184" s="76">
        <v>100</v>
      </c>
      <c r="D184" s="72" t="s">
        <v>4490</v>
      </c>
      <c r="E184" s="73" t="s">
        <v>19</v>
      </c>
      <c r="F184" s="75">
        <v>42079</v>
      </c>
      <c r="G184" s="82">
        <f>150.2</f>
        <v>150.19999999999999</v>
      </c>
      <c r="H184" s="79"/>
      <c r="I184" s="79"/>
      <c r="J184" s="79"/>
      <c r="K184" s="79"/>
      <c r="L184" s="79"/>
      <c r="M184" s="79"/>
      <c r="N184" s="79"/>
      <c r="O184" s="79"/>
      <c r="P184" s="79"/>
      <c r="Q184" s="79">
        <f t="shared" si="6"/>
        <v>150.19999999999999</v>
      </c>
      <c r="R184" s="79">
        <f t="shared" si="7"/>
        <v>0</v>
      </c>
      <c r="S184" s="79">
        <f t="shared" si="8"/>
        <v>150.19999999999999</v>
      </c>
    </row>
    <row r="185" spans="1:19" x14ac:dyDescent="0.2">
      <c r="A185" s="102" t="s">
        <v>4422</v>
      </c>
      <c r="B185" s="71" t="s">
        <v>4454</v>
      </c>
      <c r="C185" s="76">
        <v>100</v>
      </c>
      <c r="D185" s="72" t="s">
        <v>4491</v>
      </c>
      <c r="E185" s="73" t="s">
        <v>19</v>
      </c>
      <c r="F185" s="75">
        <v>42079</v>
      </c>
      <c r="G185" s="82">
        <f>310.1</f>
        <v>310.10000000000002</v>
      </c>
      <c r="H185" s="79"/>
      <c r="I185" s="79"/>
      <c r="J185" s="79"/>
      <c r="K185" s="79"/>
      <c r="L185" s="79"/>
      <c r="M185" s="79"/>
      <c r="N185" s="79"/>
      <c r="O185" s="79"/>
      <c r="P185" s="79"/>
      <c r="Q185" s="79">
        <f t="shared" si="6"/>
        <v>310.10000000000002</v>
      </c>
      <c r="R185" s="79">
        <f t="shared" si="7"/>
        <v>0</v>
      </c>
      <c r="S185" s="79">
        <f t="shared" si="8"/>
        <v>310.10000000000002</v>
      </c>
    </row>
    <row r="186" spans="1:19" x14ac:dyDescent="0.2">
      <c r="A186" s="102" t="s">
        <v>4422</v>
      </c>
      <c r="B186" s="71" t="s">
        <v>4454</v>
      </c>
      <c r="C186" s="76">
        <v>100</v>
      </c>
      <c r="D186" s="72" t="s">
        <v>4492</v>
      </c>
      <c r="E186" s="73" t="s">
        <v>19</v>
      </c>
      <c r="F186" s="75">
        <v>42079</v>
      </c>
      <c r="G186" s="82">
        <f>150</f>
        <v>150</v>
      </c>
      <c r="H186" s="79"/>
      <c r="I186" s="79"/>
      <c r="J186" s="79"/>
      <c r="K186" s="79"/>
      <c r="L186" s="79"/>
      <c r="M186" s="79"/>
      <c r="N186" s="79"/>
      <c r="O186" s="79"/>
      <c r="P186" s="79"/>
      <c r="Q186" s="79">
        <f t="shared" si="6"/>
        <v>150</v>
      </c>
      <c r="R186" s="79">
        <f t="shared" si="7"/>
        <v>0</v>
      </c>
      <c r="S186" s="79">
        <f t="shared" si="8"/>
        <v>150</v>
      </c>
    </row>
    <row r="187" spans="1:19" x14ac:dyDescent="0.2">
      <c r="A187" s="102" t="s">
        <v>4423</v>
      </c>
      <c r="B187" s="71" t="s">
        <v>4455</v>
      </c>
      <c r="C187" s="76">
        <v>101</v>
      </c>
      <c r="D187" s="72" t="s">
        <v>4493</v>
      </c>
      <c r="E187" s="73" t="s">
        <v>19</v>
      </c>
      <c r="F187" s="75">
        <v>42079</v>
      </c>
      <c r="G187" s="82">
        <f>48.6</f>
        <v>48.6</v>
      </c>
      <c r="H187" s="79"/>
      <c r="I187" s="79"/>
      <c r="J187" s="79"/>
      <c r="K187" s="79"/>
      <c r="L187" s="79"/>
      <c r="M187" s="79"/>
      <c r="N187" s="79"/>
      <c r="O187" s="79"/>
      <c r="P187" s="79"/>
      <c r="Q187" s="79">
        <f t="shared" si="6"/>
        <v>48.6</v>
      </c>
      <c r="R187" s="79">
        <f t="shared" si="7"/>
        <v>0</v>
      </c>
      <c r="S187" s="79">
        <f t="shared" si="8"/>
        <v>48.6</v>
      </c>
    </row>
    <row r="188" spans="1:19" x14ac:dyDescent="0.2">
      <c r="A188" s="102" t="s">
        <v>4424</v>
      </c>
      <c r="B188" s="71" t="s">
        <v>4456</v>
      </c>
      <c r="C188" s="76">
        <v>102</v>
      </c>
      <c r="D188" s="72" t="s">
        <v>4494</v>
      </c>
      <c r="E188" s="73" t="s">
        <v>19</v>
      </c>
      <c r="F188" s="75">
        <v>42081</v>
      </c>
      <c r="G188" s="82">
        <f>224</f>
        <v>224</v>
      </c>
      <c r="H188" s="79"/>
      <c r="I188" s="79"/>
      <c r="J188" s="79"/>
      <c r="K188" s="79"/>
      <c r="L188" s="79"/>
      <c r="M188" s="79"/>
      <c r="N188" s="79"/>
      <c r="O188" s="79"/>
      <c r="P188" s="79"/>
      <c r="Q188" s="79">
        <f t="shared" si="6"/>
        <v>224</v>
      </c>
      <c r="R188" s="79">
        <f t="shared" si="7"/>
        <v>0</v>
      </c>
      <c r="S188" s="79">
        <f t="shared" si="8"/>
        <v>224</v>
      </c>
    </row>
    <row r="189" spans="1:19" x14ac:dyDescent="0.2">
      <c r="A189" s="102" t="s">
        <v>4425</v>
      </c>
      <c r="B189" s="71" t="s">
        <v>335</v>
      </c>
      <c r="C189" s="76">
        <v>103</v>
      </c>
      <c r="D189" s="72" t="s">
        <v>4495</v>
      </c>
      <c r="E189" s="73" t="s">
        <v>19</v>
      </c>
      <c r="F189" s="75">
        <v>42081</v>
      </c>
      <c r="G189" s="82">
        <f>358.5</f>
        <v>358.5</v>
      </c>
      <c r="H189" s="79"/>
      <c r="I189" s="79"/>
      <c r="J189" s="79"/>
      <c r="K189" s="79"/>
      <c r="L189" s="79"/>
      <c r="M189" s="79"/>
      <c r="N189" s="79"/>
      <c r="O189" s="79"/>
      <c r="P189" s="79"/>
      <c r="Q189" s="79">
        <f t="shared" si="6"/>
        <v>358.5</v>
      </c>
      <c r="R189" s="79">
        <f t="shared" si="7"/>
        <v>0</v>
      </c>
      <c r="S189" s="79">
        <f t="shared" si="8"/>
        <v>358.5</v>
      </c>
    </row>
    <row r="190" spans="1:19" x14ac:dyDescent="0.2">
      <c r="A190" s="102" t="s">
        <v>4426</v>
      </c>
      <c r="B190" s="71" t="s">
        <v>4457</v>
      </c>
      <c r="C190" s="76">
        <v>104</v>
      </c>
      <c r="D190" s="72" t="s">
        <v>4496</v>
      </c>
      <c r="E190" s="73" t="s">
        <v>19</v>
      </c>
      <c r="F190" s="75">
        <v>42082</v>
      </c>
      <c r="G190" s="82">
        <f>3623.29</f>
        <v>3623.29</v>
      </c>
      <c r="H190" s="79"/>
      <c r="I190" s="79">
        <f>375</f>
        <v>375</v>
      </c>
      <c r="J190" s="79"/>
      <c r="K190" s="79"/>
      <c r="L190" s="79"/>
      <c r="M190" s="79"/>
      <c r="N190" s="79"/>
      <c r="O190" s="79"/>
      <c r="P190" s="79"/>
      <c r="Q190" s="79">
        <f t="shared" si="6"/>
        <v>3998.29</v>
      </c>
      <c r="R190" s="79">
        <f t="shared" si="7"/>
        <v>0</v>
      </c>
      <c r="S190" s="79">
        <f t="shared" si="8"/>
        <v>3998.29</v>
      </c>
    </row>
    <row r="191" spans="1:19" x14ac:dyDescent="0.2">
      <c r="A191" s="102" t="s">
        <v>4427</v>
      </c>
      <c r="B191" s="71" t="s">
        <v>2532</v>
      </c>
      <c r="C191" s="76">
        <v>105</v>
      </c>
      <c r="D191" s="72" t="s">
        <v>4497</v>
      </c>
      <c r="E191" s="73" t="s">
        <v>2068</v>
      </c>
      <c r="F191" s="75">
        <v>42082</v>
      </c>
      <c r="G191" s="82">
        <f>141.25</f>
        <v>141.25</v>
      </c>
      <c r="H191" s="79"/>
      <c r="I191" s="79"/>
      <c r="J191" s="79"/>
      <c r="K191" s="79"/>
      <c r="L191" s="79"/>
      <c r="M191" s="79"/>
      <c r="N191" s="79"/>
      <c r="O191" s="79"/>
      <c r="P191" s="79"/>
      <c r="Q191" s="79">
        <f t="shared" si="6"/>
        <v>141.25</v>
      </c>
      <c r="R191" s="79">
        <f t="shared" si="7"/>
        <v>0</v>
      </c>
      <c r="S191" s="79">
        <f t="shared" si="8"/>
        <v>141.25</v>
      </c>
    </row>
    <row r="192" spans="1:19" x14ac:dyDescent="0.2">
      <c r="A192" s="102" t="s">
        <v>4428</v>
      </c>
      <c r="B192" s="71" t="s">
        <v>4458</v>
      </c>
      <c r="C192" s="76">
        <v>106</v>
      </c>
      <c r="D192" s="72" t="s">
        <v>4784</v>
      </c>
      <c r="E192" s="73"/>
      <c r="F192" s="75"/>
      <c r="G192" s="82"/>
      <c r="H192" s="79"/>
      <c r="I192" s="79"/>
      <c r="J192" s="79"/>
      <c r="K192" s="79"/>
      <c r="L192" s="79"/>
      <c r="M192" s="79"/>
      <c r="N192" s="79"/>
      <c r="O192" s="79"/>
      <c r="P192" s="79"/>
      <c r="Q192" s="79">
        <f t="shared" si="6"/>
        <v>0</v>
      </c>
      <c r="R192" s="79">
        <f t="shared" si="7"/>
        <v>0</v>
      </c>
      <c r="S192" s="79">
        <f t="shared" si="8"/>
        <v>0</v>
      </c>
    </row>
    <row r="193" spans="1:19" x14ac:dyDescent="0.2">
      <c r="A193" s="102" t="s">
        <v>4429</v>
      </c>
      <c r="B193" s="71" t="s">
        <v>4459</v>
      </c>
      <c r="C193" s="76">
        <v>107</v>
      </c>
      <c r="D193" s="72" t="s">
        <v>4498</v>
      </c>
      <c r="E193" s="73" t="s">
        <v>19</v>
      </c>
      <c r="F193" s="75">
        <v>42082</v>
      </c>
      <c r="G193" s="82">
        <f>320+294.5</f>
        <v>614.5</v>
      </c>
      <c r="H193" s="79"/>
      <c r="I193" s="79"/>
      <c r="J193" s="79"/>
      <c r="K193" s="79"/>
      <c r="L193" s="79"/>
      <c r="M193" s="79"/>
      <c r="N193" s="79"/>
      <c r="O193" s="79"/>
      <c r="P193" s="79"/>
      <c r="Q193" s="79">
        <f t="shared" si="6"/>
        <v>614.5</v>
      </c>
      <c r="R193" s="79">
        <f t="shared" si="7"/>
        <v>0</v>
      </c>
      <c r="S193" s="79">
        <f t="shared" si="8"/>
        <v>614.5</v>
      </c>
    </row>
    <row r="194" spans="1:19" x14ac:dyDescent="0.2">
      <c r="A194" s="102" t="s">
        <v>4429</v>
      </c>
      <c r="B194" s="71" t="s">
        <v>4459</v>
      </c>
      <c r="C194" s="76">
        <v>107</v>
      </c>
      <c r="D194" s="72" t="s">
        <v>4941</v>
      </c>
      <c r="E194" s="73" t="s">
        <v>19</v>
      </c>
      <c r="F194" s="75">
        <v>42082</v>
      </c>
      <c r="G194" s="82">
        <f>96.3</f>
        <v>96.3</v>
      </c>
      <c r="H194" s="79"/>
      <c r="I194" s="79"/>
      <c r="J194" s="79"/>
      <c r="K194" s="79"/>
      <c r="L194" s="79"/>
      <c r="M194" s="79"/>
      <c r="N194" s="79"/>
      <c r="O194" s="79"/>
      <c r="P194" s="79"/>
      <c r="Q194" s="79">
        <f t="shared" si="6"/>
        <v>96.3</v>
      </c>
      <c r="R194" s="79">
        <f t="shared" si="7"/>
        <v>0</v>
      </c>
      <c r="S194" s="79">
        <f t="shared" si="8"/>
        <v>96.3</v>
      </c>
    </row>
    <row r="195" spans="1:19" x14ac:dyDescent="0.2">
      <c r="A195" s="102" t="s">
        <v>4430</v>
      </c>
      <c r="B195" s="71" t="s">
        <v>4460</v>
      </c>
      <c r="C195" s="76">
        <v>108</v>
      </c>
      <c r="D195" s="72" t="s">
        <v>4499</v>
      </c>
      <c r="E195" s="73" t="s">
        <v>19</v>
      </c>
      <c r="F195" s="75">
        <v>42083</v>
      </c>
      <c r="G195" s="82">
        <f>127.44</f>
        <v>127.44</v>
      </c>
      <c r="H195" s="79"/>
      <c r="I195" s="79"/>
      <c r="J195" s="79"/>
      <c r="K195" s="79"/>
      <c r="L195" s="79"/>
      <c r="M195" s="79"/>
      <c r="N195" s="79"/>
      <c r="O195" s="79"/>
      <c r="P195" s="79"/>
      <c r="Q195" s="79">
        <f t="shared" si="6"/>
        <v>127.44</v>
      </c>
      <c r="R195" s="79">
        <f t="shared" si="7"/>
        <v>0</v>
      </c>
      <c r="S195" s="79">
        <f t="shared" si="8"/>
        <v>127.44</v>
      </c>
    </row>
    <row r="196" spans="1:19" x14ac:dyDescent="0.2">
      <c r="A196" s="102" t="s">
        <v>4431</v>
      </c>
      <c r="B196" s="71" t="s">
        <v>4461</v>
      </c>
      <c r="C196" s="76">
        <v>109</v>
      </c>
      <c r="D196" s="72" t="s">
        <v>4500</v>
      </c>
      <c r="E196" s="73" t="s">
        <v>19</v>
      </c>
      <c r="F196" s="75">
        <v>42083</v>
      </c>
      <c r="G196" s="82">
        <f>174.64</f>
        <v>174.64</v>
      </c>
      <c r="H196" s="79"/>
      <c r="I196" s="79"/>
      <c r="J196" s="79"/>
      <c r="K196" s="79"/>
      <c r="L196" s="79"/>
      <c r="M196" s="79"/>
      <c r="N196" s="79"/>
      <c r="O196" s="79"/>
      <c r="P196" s="79"/>
      <c r="Q196" s="79">
        <f t="shared" si="6"/>
        <v>174.64</v>
      </c>
      <c r="R196" s="79">
        <f t="shared" si="7"/>
        <v>0</v>
      </c>
      <c r="S196" s="79">
        <f t="shared" si="8"/>
        <v>174.64</v>
      </c>
    </row>
    <row r="197" spans="1:19" x14ac:dyDescent="0.2">
      <c r="A197" s="102" t="s">
        <v>4432</v>
      </c>
      <c r="B197" s="71" t="s">
        <v>4462</v>
      </c>
      <c r="C197" s="76">
        <v>110</v>
      </c>
      <c r="D197" s="72" t="s">
        <v>4501</v>
      </c>
      <c r="E197" s="73" t="s">
        <v>19</v>
      </c>
      <c r="F197" s="75">
        <v>42083</v>
      </c>
      <c r="G197" s="82">
        <f>158.71</f>
        <v>158.71</v>
      </c>
      <c r="H197" s="79"/>
      <c r="I197" s="79"/>
      <c r="J197" s="79"/>
      <c r="K197" s="79"/>
      <c r="L197" s="79"/>
      <c r="M197" s="79"/>
      <c r="N197" s="79"/>
      <c r="O197" s="79"/>
      <c r="P197" s="79"/>
      <c r="Q197" s="79">
        <f t="shared" si="6"/>
        <v>158.71</v>
      </c>
      <c r="R197" s="79">
        <f t="shared" si="7"/>
        <v>0</v>
      </c>
      <c r="S197" s="79">
        <f t="shared" si="8"/>
        <v>158.71</v>
      </c>
    </row>
    <row r="198" spans="1:19" x14ac:dyDescent="0.2">
      <c r="A198" s="102" t="s">
        <v>4433</v>
      </c>
      <c r="B198" s="71" t="s">
        <v>4463</v>
      </c>
      <c r="C198" s="76">
        <v>111</v>
      </c>
      <c r="D198" s="72" t="s">
        <v>4502</v>
      </c>
      <c r="E198" s="73" t="s">
        <v>19</v>
      </c>
      <c r="F198" s="75">
        <v>42083</v>
      </c>
      <c r="G198" s="82">
        <f>207.92</f>
        <v>207.92</v>
      </c>
      <c r="H198" s="79"/>
      <c r="I198" s="79"/>
      <c r="J198" s="79"/>
      <c r="K198" s="79"/>
      <c r="L198" s="79"/>
      <c r="M198" s="79"/>
      <c r="N198" s="79"/>
      <c r="O198" s="79"/>
      <c r="P198" s="79"/>
      <c r="Q198" s="79">
        <f t="shared" si="6"/>
        <v>207.92</v>
      </c>
      <c r="R198" s="79">
        <f t="shared" si="7"/>
        <v>0</v>
      </c>
      <c r="S198" s="79">
        <f t="shared" si="8"/>
        <v>207.92</v>
      </c>
    </row>
    <row r="199" spans="1:19" x14ac:dyDescent="0.2">
      <c r="A199" s="102" t="s">
        <v>4434</v>
      </c>
      <c r="B199" s="71" t="s">
        <v>4464</v>
      </c>
      <c r="C199" s="76">
        <v>112</v>
      </c>
      <c r="D199" s="72" t="s">
        <v>4503</v>
      </c>
      <c r="E199" s="73" t="s">
        <v>19</v>
      </c>
      <c r="F199" s="75">
        <v>42083</v>
      </c>
      <c r="G199" s="82">
        <f>128.5</f>
        <v>128.5</v>
      </c>
      <c r="H199" s="79"/>
      <c r="I199" s="79"/>
      <c r="J199" s="79"/>
      <c r="K199" s="79"/>
      <c r="L199" s="79"/>
      <c r="M199" s="79"/>
      <c r="N199" s="79"/>
      <c r="O199" s="79"/>
      <c r="P199" s="79"/>
      <c r="Q199" s="79">
        <f t="shared" si="6"/>
        <v>128.5</v>
      </c>
      <c r="R199" s="79">
        <f t="shared" si="7"/>
        <v>0</v>
      </c>
      <c r="S199" s="79">
        <f t="shared" si="8"/>
        <v>128.5</v>
      </c>
    </row>
    <row r="200" spans="1:19" x14ac:dyDescent="0.2">
      <c r="A200" s="102" t="s">
        <v>4435</v>
      </c>
      <c r="B200" s="71" t="s">
        <v>4465</v>
      </c>
      <c r="C200" s="76">
        <v>113</v>
      </c>
      <c r="D200" s="72" t="s">
        <v>4504</v>
      </c>
      <c r="E200" s="73" t="s">
        <v>19</v>
      </c>
      <c r="F200" s="75">
        <v>42083</v>
      </c>
      <c r="G200" s="82">
        <f>153.16</f>
        <v>153.16</v>
      </c>
      <c r="H200" s="79"/>
      <c r="I200" s="79"/>
      <c r="J200" s="79"/>
      <c r="K200" s="79"/>
      <c r="L200" s="79"/>
      <c r="M200" s="79"/>
      <c r="N200" s="79"/>
      <c r="O200" s="79"/>
      <c r="P200" s="79"/>
      <c r="Q200" s="79">
        <f t="shared" si="6"/>
        <v>153.16</v>
      </c>
      <c r="R200" s="79">
        <f t="shared" si="7"/>
        <v>0</v>
      </c>
      <c r="S200" s="79">
        <f t="shared" si="8"/>
        <v>153.16</v>
      </c>
    </row>
    <row r="201" spans="1:19" x14ac:dyDescent="0.2">
      <c r="A201" s="102" t="s">
        <v>4436</v>
      </c>
      <c r="B201" s="71" t="s">
        <v>4466</v>
      </c>
      <c r="C201" s="76">
        <v>114</v>
      </c>
      <c r="D201" s="72" t="s">
        <v>4505</v>
      </c>
      <c r="E201" s="73" t="s">
        <v>19</v>
      </c>
      <c r="F201" s="75">
        <v>42083</v>
      </c>
      <c r="G201" s="82">
        <f>702.22</f>
        <v>702.22</v>
      </c>
      <c r="H201" s="79"/>
      <c r="I201" s="79"/>
      <c r="J201" s="79"/>
      <c r="K201" s="79"/>
      <c r="L201" s="79"/>
      <c r="M201" s="79"/>
      <c r="N201" s="79"/>
      <c r="O201" s="79"/>
      <c r="P201" s="79"/>
      <c r="Q201" s="79">
        <f t="shared" ref="Q201:Q264" si="9">+G201+I201+K201+M201+O201</f>
        <v>702.22</v>
      </c>
      <c r="R201" s="79">
        <f t="shared" ref="R201:R264" si="10">+H201+J201+L201+N201+P201</f>
        <v>0</v>
      </c>
      <c r="S201" s="79">
        <f t="shared" ref="S201:S264" si="11">+Q201+R201</f>
        <v>702.22</v>
      </c>
    </row>
    <row r="202" spans="1:19" x14ac:dyDescent="0.2">
      <c r="A202" s="102" t="s">
        <v>4437</v>
      </c>
      <c r="B202" s="71" t="s">
        <v>4467</v>
      </c>
      <c r="C202" s="76">
        <v>115</v>
      </c>
      <c r="D202" s="72" t="s">
        <v>4506</v>
      </c>
      <c r="E202" s="73" t="s">
        <v>19</v>
      </c>
      <c r="F202" s="75">
        <v>42083</v>
      </c>
      <c r="G202" s="82">
        <f>93.63</f>
        <v>93.63</v>
      </c>
      <c r="H202" s="79"/>
      <c r="I202" s="79"/>
      <c r="J202" s="79"/>
      <c r="K202" s="79"/>
      <c r="L202" s="79"/>
      <c r="M202" s="79"/>
      <c r="N202" s="79"/>
      <c r="O202" s="79"/>
      <c r="P202" s="79"/>
      <c r="Q202" s="79">
        <f t="shared" si="9"/>
        <v>93.63</v>
      </c>
      <c r="R202" s="79">
        <f t="shared" si="10"/>
        <v>0</v>
      </c>
      <c r="S202" s="79">
        <f t="shared" si="11"/>
        <v>93.63</v>
      </c>
    </row>
    <row r="203" spans="1:19" x14ac:dyDescent="0.2">
      <c r="A203" s="102" t="s">
        <v>4508</v>
      </c>
      <c r="B203" s="71" t="s">
        <v>415</v>
      </c>
      <c r="C203" s="76">
        <v>116</v>
      </c>
      <c r="D203" s="72" t="s">
        <v>4530</v>
      </c>
      <c r="E203" s="73" t="s">
        <v>19</v>
      </c>
      <c r="F203" s="75">
        <v>42083</v>
      </c>
      <c r="G203" s="82">
        <f>198.92+254.8</f>
        <v>453.72</v>
      </c>
      <c r="H203" s="79"/>
      <c r="I203" s="79"/>
      <c r="J203" s="79"/>
      <c r="K203" s="79"/>
      <c r="L203" s="79"/>
      <c r="M203" s="79"/>
      <c r="N203" s="79"/>
      <c r="O203" s="79"/>
      <c r="P203" s="79"/>
      <c r="Q203" s="79">
        <f t="shared" si="9"/>
        <v>453.72</v>
      </c>
      <c r="R203" s="79">
        <f t="shared" si="10"/>
        <v>0</v>
      </c>
      <c r="S203" s="79">
        <f t="shared" si="11"/>
        <v>453.72</v>
      </c>
    </row>
    <row r="204" spans="1:19" x14ac:dyDescent="0.2">
      <c r="A204" s="102" t="s">
        <v>4509</v>
      </c>
      <c r="B204" s="71" t="s">
        <v>4520</v>
      </c>
      <c r="C204" s="76">
        <v>117</v>
      </c>
      <c r="D204" s="72" t="s">
        <v>4531</v>
      </c>
      <c r="E204" s="73" t="s">
        <v>19</v>
      </c>
      <c r="F204" s="75">
        <v>42084</v>
      </c>
      <c r="G204" s="82">
        <f>4257.04+360.05+11+150.6+73.22+66.61+194.7+335+41.3+46.79+251.2+41.3+41.3+1471.48+305+41.3</f>
        <v>7687.89</v>
      </c>
      <c r="H204" s="79"/>
      <c r="I204" s="79">
        <f>3750</f>
        <v>3750</v>
      </c>
      <c r="J204" s="79"/>
      <c r="K204" s="79"/>
      <c r="L204" s="79"/>
      <c r="M204" s="79"/>
      <c r="N204" s="79"/>
      <c r="O204" s="79"/>
      <c r="P204" s="79"/>
      <c r="Q204" s="79">
        <f t="shared" si="9"/>
        <v>11437.89</v>
      </c>
      <c r="R204" s="79">
        <f t="shared" si="10"/>
        <v>0</v>
      </c>
      <c r="S204" s="79">
        <f t="shared" si="11"/>
        <v>11437.89</v>
      </c>
    </row>
    <row r="205" spans="1:19" x14ac:dyDescent="0.2">
      <c r="A205" s="102" t="s">
        <v>4510</v>
      </c>
      <c r="B205" s="71" t="s">
        <v>4521</v>
      </c>
      <c r="C205" s="76">
        <v>118</v>
      </c>
      <c r="D205" s="72" t="s">
        <v>4532</v>
      </c>
      <c r="E205" s="73" t="s">
        <v>19</v>
      </c>
      <c r="F205" s="75">
        <v>42085</v>
      </c>
      <c r="G205" s="82">
        <f>288.14</f>
        <v>288.14</v>
      </c>
      <c r="H205" s="79"/>
      <c r="I205" s="79">
        <v>200</v>
      </c>
      <c r="J205" s="79"/>
      <c r="K205" s="79"/>
      <c r="L205" s="79"/>
      <c r="M205" s="79"/>
      <c r="N205" s="79"/>
      <c r="O205" s="79"/>
      <c r="P205" s="79"/>
      <c r="Q205" s="79">
        <f t="shared" si="9"/>
        <v>488.14</v>
      </c>
      <c r="R205" s="79">
        <f t="shared" si="10"/>
        <v>0</v>
      </c>
      <c r="S205" s="79">
        <f t="shared" si="11"/>
        <v>488.14</v>
      </c>
    </row>
    <row r="206" spans="1:19" x14ac:dyDescent="0.2">
      <c r="A206" s="102" t="s">
        <v>4511</v>
      </c>
      <c r="B206" s="71" t="s">
        <v>4522</v>
      </c>
      <c r="C206" s="76">
        <v>119</v>
      </c>
      <c r="D206" s="72" t="s">
        <v>4533</v>
      </c>
      <c r="E206" s="73" t="s">
        <v>2068</v>
      </c>
      <c r="F206" s="75">
        <v>42089</v>
      </c>
      <c r="G206" s="82">
        <f>5010.61+241.71+454.07+535.03+306.8</f>
        <v>6548.2199999999993</v>
      </c>
      <c r="H206" s="79"/>
      <c r="I206" s="79"/>
      <c r="J206" s="79"/>
      <c r="K206" s="79"/>
      <c r="L206" s="79"/>
      <c r="M206" s="79"/>
      <c r="N206" s="79"/>
      <c r="O206" s="79"/>
      <c r="P206" s="79"/>
      <c r="Q206" s="79">
        <f t="shared" si="9"/>
        <v>6548.2199999999993</v>
      </c>
      <c r="R206" s="79">
        <f t="shared" si="10"/>
        <v>0</v>
      </c>
      <c r="S206" s="79">
        <f t="shared" si="11"/>
        <v>6548.2199999999993</v>
      </c>
    </row>
    <row r="207" spans="1:19" x14ac:dyDescent="0.2">
      <c r="A207" s="102" t="s">
        <v>4511</v>
      </c>
      <c r="B207" s="71" t="s">
        <v>4522</v>
      </c>
      <c r="C207" s="76">
        <v>119</v>
      </c>
      <c r="D207" s="72" t="s">
        <v>4534</v>
      </c>
      <c r="E207" s="73" t="s">
        <v>2068</v>
      </c>
      <c r="F207" s="75">
        <v>42089</v>
      </c>
      <c r="G207" s="82">
        <f>39.8</f>
        <v>39.799999999999997</v>
      </c>
      <c r="H207" s="79"/>
      <c r="I207" s="79"/>
      <c r="J207" s="79"/>
      <c r="K207" s="79"/>
      <c r="L207" s="79"/>
      <c r="M207" s="79"/>
      <c r="N207" s="79"/>
      <c r="O207" s="79"/>
      <c r="P207" s="79"/>
      <c r="Q207" s="79">
        <f t="shared" si="9"/>
        <v>39.799999999999997</v>
      </c>
      <c r="R207" s="79">
        <f t="shared" si="10"/>
        <v>0</v>
      </c>
      <c r="S207" s="79">
        <f t="shared" si="11"/>
        <v>39.799999999999997</v>
      </c>
    </row>
    <row r="208" spans="1:19" x14ac:dyDescent="0.2">
      <c r="A208" s="102" t="s">
        <v>4511</v>
      </c>
      <c r="B208" s="71" t="s">
        <v>4522</v>
      </c>
      <c r="C208" s="76">
        <v>119</v>
      </c>
      <c r="D208" s="72" t="s">
        <v>4535</v>
      </c>
      <c r="E208" s="73" t="s">
        <v>2068</v>
      </c>
      <c r="F208" s="75">
        <v>42089</v>
      </c>
      <c r="G208" s="82">
        <f>39.2</f>
        <v>39.200000000000003</v>
      </c>
      <c r="H208" s="79"/>
      <c r="I208" s="79"/>
      <c r="J208" s="79"/>
      <c r="K208" s="79"/>
      <c r="L208" s="79"/>
      <c r="M208" s="79"/>
      <c r="N208" s="79"/>
      <c r="O208" s="79"/>
      <c r="P208" s="79"/>
      <c r="Q208" s="79">
        <f t="shared" si="9"/>
        <v>39.200000000000003</v>
      </c>
      <c r="R208" s="79">
        <f t="shared" si="10"/>
        <v>0</v>
      </c>
      <c r="S208" s="79">
        <f t="shared" si="11"/>
        <v>39.200000000000003</v>
      </c>
    </row>
    <row r="209" spans="1:19" x14ac:dyDescent="0.2">
      <c r="A209" s="102" t="s">
        <v>4511</v>
      </c>
      <c r="B209" s="71" t="s">
        <v>4522</v>
      </c>
      <c r="C209" s="76">
        <v>119</v>
      </c>
      <c r="D209" s="72" t="s">
        <v>4536</v>
      </c>
      <c r="E209" s="73" t="s">
        <v>2068</v>
      </c>
      <c r="F209" s="75">
        <v>42089</v>
      </c>
      <c r="G209" s="82">
        <f>39.78</f>
        <v>39.78</v>
      </c>
      <c r="H209" s="79"/>
      <c r="I209" s="79"/>
      <c r="J209" s="79"/>
      <c r="K209" s="79"/>
      <c r="L209" s="79"/>
      <c r="M209" s="79"/>
      <c r="N209" s="79"/>
      <c r="O209" s="79"/>
      <c r="P209" s="79"/>
      <c r="Q209" s="79">
        <f t="shared" si="9"/>
        <v>39.78</v>
      </c>
      <c r="R209" s="79">
        <f t="shared" si="10"/>
        <v>0</v>
      </c>
      <c r="S209" s="79">
        <f t="shared" si="11"/>
        <v>39.78</v>
      </c>
    </row>
    <row r="210" spans="1:19" x14ac:dyDescent="0.2">
      <c r="A210" s="102" t="s">
        <v>4512</v>
      </c>
      <c r="B210" s="71" t="s">
        <v>4523</v>
      </c>
      <c r="C210" s="76">
        <v>120</v>
      </c>
      <c r="D210" s="72" t="s">
        <v>4537</v>
      </c>
      <c r="E210" s="73" t="s">
        <v>2068</v>
      </c>
      <c r="F210" s="75">
        <v>42090</v>
      </c>
      <c r="G210" s="82">
        <f>38.6</f>
        <v>38.6</v>
      </c>
      <c r="H210" s="79"/>
      <c r="I210" s="79"/>
      <c r="J210" s="79"/>
      <c r="K210" s="79"/>
      <c r="L210" s="79"/>
      <c r="M210" s="79"/>
      <c r="N210" s="79"/>
      <c r="O210" s="79"/>
      <c r="P210" s="79"/>
      <c r="Q210" s="79">
        <f t="shared" si="9"/>
        <v>38.6</v>
      </c>
      <c r="R210" s="79">
        <f t="shared" si="10"/>
        <v>0</v>
      </c>
      <c r="S210" s="79">
        <f t="shared" si="11"/>
        <v>38.6</v>
      </c>
    </row>
    <row r="211" spans="1:19" x14ac:dyDescent="0.2">
      <c r="A211" s="102" t="s">
        <v>4513</v>
      </c>
      <c r="B211" s="71" t="s">
        <v>4524</v>
      </c>
      <c r="C211" s="76">
        <v>121</v>
      </c>
      <c r="D211" s="72" t="s">
        <v>4538</v>
      </c>
      <c r="E211" s="73" t="s">
        <v>19</v>
      </c>
      <c r="F211" s="75">
        <v>42090</v>
      </c>
      <c r="G211" s="82">
        <f>40</f>
        <v>40</v>
      </c>
      <c r="H211" s="79"/>
      <c r="I211" s="79"/>
      <c r="J211" s="79"/>
      <c r="K211" s="79"/>
      <c r="L211" s="79"/>
      <c r="M211" s="79"/>
      <c r="N211" s="79"/>
      <c r="O211" s="79"/>
      <c r="P211" s="79"/>
      <c r="Q211" s="79">
        <f t="shared" si="9"/>
        <v>40</v>
      </c>
      <c r="R211" s="79">
        <f t="shared" si="10"/>
        <v>0</v>
      </c>
      <c r="S211" s="79">
        <f t="shared" si="11"/>
        <v>40</v>
      </c>
    </row>
    <row r="212" spans="1:19" x14ac:dyDescent="0.2">
      <c r="A212" s="102" t="s">
        <v>4513</v>
      </c>
      <c r="B212" s="71" t="s">
        <v>4524</v>
      </c>
      <c r="C212" s="76">
        <v>121</v>
      </c>
      <c r="D212" s="72" t="s">
        <v>4539</v>
      </c>
      <c r="E212" s="73" t="s">
        <v>19</v>
      </c>
      <c r="F212" s="75">
        <v>42090</v>
      </c>
      <c r="G212" s="82">
        <f>40</f>
        <v>40</v>
      </c>
      <c r="H212" s="79"/>
      <c r="I212" s="79"/>
      <c r="J212" s="79"/>
      <c r="K212" s="79"/>
      <c r="L212" s="79"/>
      <c r="M212" s="79"/>
      <c r="N212" s="79"/>
      <c r="O212" s="79"/>
      <c r="P212" s="79"/>
      <c r="Q212" s="79">
        <f t="shared" si="9"/>
        <v>40</v>
      </c>
      <c r="R212" s="79">
        <f t="shared" si="10"/>
        <v>0</v>
      </c>
      <c r="S212" s="79">
        <f t="shared" si="11"/>
        <v>40</v>
      </c>
    </row>
    <row r="213" spans="1:19" x14ac:dyDescent="0.2">
      <c r="A213" s="102" t="s">
        <v>4513</v>
      </c>
      <c r="B213" s="71" t="s">
        <v>4524</v>
      </c>
      <c r="C213" s="76">
        <v>121</v>
      </c>
      <c r="D213" s="72" t="s">
        <v>4540</v>
      </c>
      <c r="E213" s="73" t="s">
        <v>19</v>
      </c>
      <c r="F213" s="75">
        <v>42090</v>
      </c>
      <c r="G213" s="82">
        <f>107</f>
        <v>107</v>
      </c>
      <c r="H213" s="79"/>
      <c r="I213" s="79"/>
      <c r="J213" s="79"/>
      <c r="K213" s="79"/>
      <c r="L213" s="79"/>
      <c r="M213" s="79"/>
      <c r="N213" s="79"/>
      <c r="O213" s="79"/>
      <c r="P213" s="79"/>
      <c r="Q213" s="79">
        <f t="shared" si="9"/>
        <v>107</v>
      </c>
      <c r="R213" s="79">
        <f t="shared" si="10"/>
        <v>0</v>
      </c>
      <c r="S213" s="79">
        <f t="shared" si="11"/>
        <v>107</v>
      </c>
    </row>
    <row r="214" spans="1:19" x14ac:dyDescent="0.2">
      <c r="A214" s="102" t="s">
        <v>4514</v>
      </c>
      <c r="B214" s="71" t="s">
        <v>4525</v>
      </c>
      <c r="C214" s="76">
        <v>122</v>
      </c>
      <c r="D214" s="72" t="s">
        <v>4548</v>
      </c>
      <c r="E214" s="73" t="s">
        <v>19</v>
      </c>
      <c r="F214" s="75">
        <v>42090</v>
      </c>
      <c r="G214" s="82">
        <f>557+610+3906.86+3915.71+1016.17+57.23+47.2+53.69+800.59+47.2+225.07+86.06+128.43+1182.6+195.21+89+107.8+2670.51+60.22+59</f>
        <v>15815.55</v>
      </c>
      <c r="H214" s="79"/>
      <c r="I214" s="79">
        <f>2250+750+850</f>
        <v>3850</v>
      </c>
      <c r="J214" s="79"/>
      <c r="K214" s="79"/>
      <c r="L214" s="79"/>
      <c r="M214" s="79"/>
      <c r="N214" s="79"/>
      <c r="O214" s="79"/>
      <c r="P214" s="79"/>
      <c r="Q214" s="79">
        <f t="shared" si="9"/>
        <v>19665.55</v>
      </c>
      <c r="R214" s="79">
        <f t="shared" si="10"/>
        <v>0</v>
      </c>
      <c r="S214" s="79">
        <f t="shared" si="11"/>
        <v>19665.55</v>
      </c>
    </row>
    <row r="215" spans="1:19" x14ac:dyDescent="0.2">
      <c r="A215" s="102" t="s">
        <v>4515</v>
      </c>
      <c r="B215" s="71" t="s">
        <v>4526</v>
      </c>
      <c r="C215" s="76">
        <v>123</v>
      </c>
      <c r="D215" s="72" t="s">
        <v>4541</v>
      </c>
      <c r="E215" s="73" t="s">
        <v>19</v>
      </c>
      <c r="F215" s="75">
        <v>42093</v>
      </c>
      <c r="G215" s="82">
        <f>66.92</f>
        <v>66.92</v>
      </c>
      <c r="H215" s="79"/>
      <c r="I215" s="79"/>
      <c r="J215" s="79"/>
      <c r="K215" s="79"/>
      <c r="L215" s="79"/>
      <c r="M215" s="79"/>
      <c r="N215" s="79"/>
      <c r="O215" s="79"/>
      <c r="P215" s="79"/>
      <c r="Q215" s="79">
        <f t="shared" si="9"/>
        <v>66.92</v>
      </c>
      <c r="R215" s="79">
        <f t="shared" si="10"/>
        <v>0</v>
      </c>
      <c r="S215" s="79">
        <f t="shared" si="11"/>
        <v>66.92</v>
      </c>
    </row>
    <row r="216" spans="1:19" x14ac:dyDescent="0.2">
      <c r="A216" s="102" t="s">
        <v>4515</v>
      </c>
      <c r="B216" s="71" t="s">
        <v>4526</v>
      </c>
      <c r="C216" s="76">
        <v>123</v>
      </c>
      <c r="D216" s="72" t="s">
        <v>4542</v>
      </c>
      <c r="E216" s="73" t="s">
        <v>19</v>
      </c>
      <c r="F216" s="75">
        <v>42093</v>
      </c>
      <c r="G216" s="82">
        <f>71.41</f>
        <v>71.41</v>
      </c>
      <c r="H216" s="79"/>
      <c r="I216" s="79"/>
      <c r="J216" s="79"/>
      <c r="K216" s="79"/>
      <c r="L216" s="79"/>
      <c r="M216" s="79"/>
      <c r="N216" s="79"/>
      <c r="O216" s="79"/>
      <c r="P216" s="79"/>
      <c r="Q216" s="79">
        <f t="shared" si="9"/>
        <v>71.41</v>
      </c>
      <c r="R216" s="79">
        <f t="shared" si="10"/>
        <v>0</v>
      </c>
      <c r="S216" s="79">
        <f t="shared" si="11"/>
        <v>71.41</v>
      </c>
    </row>
    <row r="217" spans="1:19" x14ac:dyDescent="0.2">
      <c r="A217" s="102" t="s">
        <v>4515</v>
      </c>
      <c r="B217" s="71" t="s">
        <v>4526</v>
      </c>
      <c r="C217" s="76">
        <v>123</v>
      </c>
      <c r="D217" s="72" t="s">
        <v>4543</v>
      </c>
      <c r="E217" s="73" t="s">
        <v>19</v>
      </c>
      <c r="F217" s="75">
        <v>42093</v>
      </c>
      <c r="G217" s="82"/>
      <c r="H217" s="79"/>
      <c r="I217" s="79"/>
      <c r="J217" s="79"/>
      <c r="K217" s="79"/>
      <c r="L217" s="79"/>
      <c r="M217" s="79"/>
      <c r="N217" s="79"/>
      <c r="O217" s="79"/>
      <c r="P217" s="79"/>
      <c r="Q217" s="79">
        <f t="shared" si="9"/>
        <v>0</v>
      </c>
      <c r="R217" s="79">
        <f t="shared" si="10"/>
        <v>0</v>
      </c>
      <c r="S217" s="79">
        <f t="shared" si="11"/>
        <v>0</v>
      </c>
    </row>
    <row r="218" spans="1:19" x14ac:dyDescent="0.2">
      <c r="A218" s="102" t="s">
        <v>4515</v>
      </c>
      <c r="B218" s="71" t="s">
        <v>4526</v>
      </c>
      <c r="C218" s="76">
        <v>123</v>
      </c>
      <c r="D218" s="72" t="s">
        <v>4544</v>
      </c>
      <c r="E218" s="73" t="s">
        <v>19</v>
      </c>
      <c r="F218" s="75">
        <v>42093</v>
      </c>
      <c r="G218" s="82">
        <f>66.92</f>
        <v>66.92</v>
      </c>
      <c r="H218" s="79"/>
      <c r="I218" s="79"/>
      <c r="J218" s="79"/>
      <c r="K218" s="79"/>
      <c r="L218" s="79"/>
      <c r="M218" s="79"/>
      <c r="N218" s="79"/>
      <c r="O218" s="79"/>
      <c r="P218" s="79"/>
      <c r="Q218" s="79">
        <f t="shared" si="9"/>
        <v>66.92</v>
      </c>
      <c r="R218" s="79">
        <f t="shared" si="10"/>
        <v>0</v>
      </c>
      <c r="S218" s="79">
        <f t="shared" si="11"/>
        <v>66.92</v>
      </c>
    </row>
    <row r="219" spans="1:19" x14ac:dyDescent="0.2">
      <c r="A219" s="102" t="s">
        <v>4516</v>
      </c>
      <c r="B219" s="71" t="s">
        <v>4527</v>
      </c>
      <c r="C219" s="76">
        <v>124</v>
      </c>
      <c r="D219" s="72" t="s">
        <v>4783</v>
      </c>
      <c r="E219" s="73" t="s">
        <v>73</v>
      </c>
      <c r="F219" s="75">
        <v>42094</v>
      </c>
      <c r="G219" s="82">
        <f>1168+425.3+1559.5+638+153</f>
        <v>3943.8</v>
      </c>
      <c r="H219" s="79"/>
      <c r="I219" s="79"/>
      <c r="J219" s="79"/>
      <c r="K219" s="79"/>
      <c r="L219" s="79"/>
      <c r="M219" s="79">
        <v>3850</v>
      </c>
      <c r="N219" s="79"/>
      <c r="O219" s="79">
        <v>15400</v>
      </c>
      <c r="P219" s="79"/>
      <c r="Q219" s="79">
        <f t="shared" si="9"/>
        <v>23193.8</v>
      </c>
      <c r="R219" s="79">
        <f t="shared" si="10"/>
        <v>0</v>
      </c>
      <c r="S219" s="79">
        <f t="shared" si="11"/>
        <v>23193.8</v>
      </c>
    </row>
    <row r="220" spans="1:19" x14ac:dyDescent="0.2">
      <c r="A220" s="102" t="s">
        <v>4516</v>
      </c>
      <c r="B220" s="71" t="s">
        <v>4527</v>
      </c>
      <c r="C220" s="76">
        <v>124</v>
      </c>
      <c r="D220" s="72" t="s">
        <v>4547</v>
      </c>
      <c r="E220" s="73" t="s">
        <v>73</v>
      </c>
      <c r="F220" s="75">
        <v>42094</v>
      </c>
      <c r="G220" s="82">
        <f>44.98+97+41.3+97+218.46+467.68+95.52+135.97+95.52+41.3+11544.34+139.01+71.65+145.29+95.52+41.3+142.1+1268+592.5</f>
        <v>15374.44</v>
      </c>
      <c r="H220" s="79"/>
      <c r="I220" s="79">
        <f>750+1500+1475</f>
        <v>3725</v>
      </c>
      <c r="J220" s="79"/>
      <c r="K220" s="79"/>
      <c r="L220" s="79"/>
      <c r="M220" s="79"/>
      <c r="N220" s="79"/>
      <c r="O220" s="79"/>
      <c r="P220" s="79"/>
      <c r="Q220" s="79">
        <f t="shared" si="9"/>
        <v>19099.440000000002</v>
      </c>
      <c r="R220" s="79">
        <f t="shared" si="10"/>
        <v>0</v>
      </c>
      <c r="S220" s="79">
        <f t="shared" si="11"/>
        <v>19099.440000000002</v>
      </c>
    </row>
    <row r="221" spans="1:19" x14ac:dyDescent="0.2">
      <c r="A221" s="102" t="s">
        <v>4516</v>
      </c>
      <c r="B221" s="71" t="s">
        <v>4527</v>
      </c>
      <c r="C221" s="76">
        <v>124</v>
      </c>
      <c r="D221" s="73" t="s">
        <v>5957</v>
      </c>
      <c r="E221" s="73" t="s">
        <v>73</v>
      </c>
      <c r="F221" s="75">
        <v>42094</v>
      </c>
      <c r="G221" s="82">
        <f>158+94</f>
        <v>252</v>
      </c>
      <c r="H221" s="79"/>
      <c r="I221" s="79"/>
      <c r="J221" s="79"/>
      <c r="K221" s="79"/>
      <c r="L221" s="79"/>
      <c r="M221" s="79"/>
      <c r="N221" s="79"/>
      <c r="O221" s="79"/>
      <c r="P221" s="79"/>
      <c r="Q221" s="79">
        <f t="shared" si="9"/>
        <v>252</v>
      </c>
      <c r="R221" s="79">
        <f t="shared" si="10"/>
        <v>0</v>
      </c>
      <c r="S221" s="79">
        <f t="shared" si="11"/>
        <v>252</v>
      </c>
    </row>
    <row r="222" spans="1:19" x14ac:dyDescent="0.2">
      <c r="A222" s="102" t="s">
        <v>4517</v>
      </c>
      <c r="B222" s="71" t="s">
        <v>4528</v>
      </c>
      <c r="C222" s="76">
        <v>125</v>
      </c>
      <c r="D222" s="72" t="s">
        <v>4545</v>
      </c>
      <c r="E222" s="73" t="s">
        <v>19</v>
      </c>
      <c r="F222" s="75">
        <v>42094</v>
      </c>
      <c r="G222" s="82">
        <f>131.1</f>
        <v>131.1</v>
      </c>
      <c r="H222" s="79"/>
      <c r="I222" s="79"/>
      <c r="J222" s="79"/>
      <c r="K222" s="79"/>
      <c r="L222" s="79"/>
      <c r="M222" s="79"/>
      <c r="N222" s="79"/>
      <c r="O222" s="79"/>
      <c r="P222" s="79"/>
      <c r="Q222" s="79">
        <f>+G222+I222+K222+M222+O222</f>
        <v>131.1</v>
      </c>
      <c r="R222" s="79">
        <f>+H222+J222+L222+N222+P222</f>
        <v>0</v>
      </c>
      <c r="S222" s="79">
        <f>+Q222+R222</f>
        <v>131.1</v>
      </c>
    </row>
    <row r="223" spans="1:19" x14ac:dyDescent="0.2">
      <c r="A223" s="102" t="s">
        <v>4518</v>
      </c>
      <c r="B223" s="71" t="s">
        <v>4529</v>
      </c>
      <c r="C223" s="76">
        <v>126</v>
      </c>
      <c r="D223" s="72" t="s">
        <v>4784</v>
      </c>
      <c r="E223" s="73"/>
      <c r="F223" s="75"/>
      <c r="G223" s="82"/>
      <c r="H223" s="79"/>
      <c r="I223" s="79"/>
      <c r="J223" s="79"/>
      <c r="K223" s="79"/>
      <c r="L223" s="79"/>
      <c r="M223" s="79"/>
      <c r="N223" s="79"/>
      <c r="O223" s="79"/>
      <c r="P223" s="79"/>
      <c r="Q223" s="79">
        <f t="shared" si="9"/>
        <v>0</v>
      </c>
      <c r="R223" s="79">
        <f t="shared" si="10"/>
        <v>0</v>
      </c>
      <c r="S223" s="79">
        <f t="shared" si="11"/>
        <v>0</v>
      </c>
    </row>
    <row r="224" spans="1:19" x14ac:dyDescent="0.2">
      <c r="A224" s="102" t="s">
        <v>4519</v>
      </c>
      <c r="B224" s="71" t="s">
        <v>4158</v>
      </c>
      <c r="C224" s="76">
        <v>127</v>
      </c>
      <c r="D224" s="72" t="s">
        <v>4546</v>
      </c>
      <c r="E224" s="73" t="s">
        <v>19</v>
      </c>
      <c r="F224" s="75">
        <v>42095</v>
      </c>
      <c r="G224" s="82">
        <f>498+117.45+184.31+404.3+168.08+117.45+391.3</f>
        <v>1880.8899999999999</v>
      </c>
      <c r="H224" s="79"/>
      <c r="I224" s="79">
        <f>375</f>
        <v>375</v>
      </c>
      <c r="J224" s="79"/>
      <c r="K224" s="79"/>
      <c r="L224" s="79"/>
      <c r="M224" s="79"/>
      <c r="N224" s="79"/>
      <c r="O224" s="79"/>
      <c r="P224" s="79"/>
      <c r="Q224" s="79">
        <f t="shared" si="9"/>
        <v>2255.89</v>
      </c>
      <c r="R224" s="79">
        <f t="shared" si="10"/>
        <v>0</v>
      </c>
      <c r="S224" s="79">
        <f t="shared" si="11"/>
        <v>2255.89</v>
      </c>
    </row>
    <row r="225" spans="1:19" x14ac:dyDescent="0.2">
      <c r="A225" s="102" t="s">
        <v>4519</v>
      </c>
      <c r="B225" s="71" t="s">
        <v>4158</v>
      </c>
      <c r="C225" s="76">
        <v>127</v>
      </c>
      <c r="D225" s="72" t="s">
        <v>4942</v>
      </c>
      <c r="E225" s="73" t="s">
        <v>19</v>
      </c>
      <c r="F225" s="75">
        <v>42095</v>
      </c>
      <c r="G225" s="82">
        <f>48</f>
        <v>48</v>
      </c>
      <c r="H225" s="79"/>
      <c r="I225" s="79"/>
      <c r="J225" s="79"/>
      <c r="K225" s="79"/>
      <c r="L225" s="79"/>
      <c r="M225" s="79"/>
      <c r="N225" s="79"/>
      <c r="O225" s="79"/>
      <c r="P225" s="79"/>
      <c r="Q225" s="79">
        <f t="shared" si="9"/>
        <v>48</v>
      </c>
      <c r="R225" s="79">
        <f t="shared" si="10"/>
        <v>0</v>
      </c>
      <c r="S225" s="79">
        <f t="shared" si="11"/>
        <v>48</v>
      </c>
    </row>
    <row r="226" spans="1:19" x14ac:dyDescent="0.2">
      <c r="A226" s="102" t="s">
        <v>4554</v>
      </c>
      <c r="B226" s="71" t="s">
        <v>3980</v>
      </c>
      <c r="C226" s="76">
        <v>128</v>
      </c>
      <c r="D226" s="72" t="s">
        <v>4686</v>
      </c>
      <c r="E226" s="73" t="s">
        <v>19</v>
      </c>
      <c r="F226" s="75">
        <v>42100</v>
      </c>
      <c r="G226" s="82">
        <f>107.79+558+47.2+116.32+109.98+877.77+170+185</f>
        <v>2172.06</v>
      </c>
      <c r="H226" s="79"/>
      <c r="I226" s="79">
        <f>25*25+250+375</f>
        <v>1250</v>
      </c>
      <c r="J226" s="79"/>
      <c r="K226" s="79"/>
      <c r="L226" s="79"/>
      <c r="M226" s="79"/>
      <c r="N226" s="79"/>
      <c r="O226" s="79"/>
      <c r="P226" s="79"/>
      <c r="Q226" s="79">
        <f t="shared" si="9"/>
        <v>3422.06</v>
      </c>
      <c r="R226" s="79">
        <f t="shared" si="10"/>
        <v>0</v>
      </c>
      <c r="S226" s="79">
        <f t="shared" si="11"/>
        <v>3422.06</v>
      </c>
    </row>
    <row r="227" spans="1:19" x14ac:dyDescent="0.2">
      <c r="A227" s="102" t="s">
        <v>4555</v>
      </c>
      <c r="B227" s="71" t="s">
        <v>4622</v>
      </c>
      <c r="C227" s="76">
        <v>129</v>
      </c>
      <c r="D227" s="72" t="s">
        <v>4687</v>
      </c>
      <c r="E227" s="73" t="s">
        <v>19</v>
      </c>
      <c r="F227" s="75">
        <v>42102</v>
      </c>
      <c r="G227" s="82">
        <f>122.86</f>
        <v>122.86</v>
      </c>
      <c r="H227" s="79"/>
      <c r="I227" s="79"/>
      <c r="J227" s="79"/>
      <c r="K227" s="79"/>
      <c r="L227" s="79"/>
      <c r="M227" s="79"/>
      <c r="N227" s="79"/>
      <c r="O227" s="79"/>
      <c r="P227" s="79"/>
      <c r="Q227" s="79">
        <f t="shared" si="9"/>
        <v>122.86</v>
      </c>
      <c r="R227" s="79">
        <f t="shared" si="10"/>
        <v>0</v>
      </c>
      <c r="S227" s="79">
        <f t="shared" si="11"/>
        <v>122.86</v>
      </c>
    </row>
    <row r="228" spans="1:19" x14ac:dyDescent="0.2">
      <c r="A228" s="102" t="s">
        <v>4556</v>
      </c>
      <c r="B228" s="71" t="s">
        <v>4623</v>
      </c>
      <c r="C228" s="76">
        <v>130</v>
      </c>
      <c r="D228" s="72" t="s">
        <v>4688</v>
      </c>
      <c r="E228" s="73" t="s">
        <v>19</v>
      </c>
      <c r="F228" s="75">
        <v>42102</v>
      </c>
      <c r="G228" s="82">
        <f>40</f>
        <v>40</v>
      </c>
      <c r="H228" s="79"/>
      <c r="I228" s="79"/>
      <c r="J228" s="79"/>
      <c r="K228" s="79"/>
      <c r="L228" s="79"/>
      <c r="M228" s="79"/>
      <c r="N228" s="79"/>
      <c r="O228" s="79"/>
      <c r="P228" s="79"/>
      <c r="Q228" s="79">
        <f t="shared" si="9"/>
        <v>40</v>
      </c>
      <c r="R228" s="79">
        <f t="shared" si="10"/>
        <v>0</v>
      </c>
      <c r="S228" s="79">
        <f t="shared" si="11"/>
        <v>40</v>
      </c>
    </row>
    <row r="229" spans="1:19" x14ac:dyDescent="0.2">
      <c r="A229" s="102" t="s">
        <v>4557</v>
      </c>
      <c r="B229" s="71" t="s">
        <v>4624</v>
      </c>
      <c r="C229" s="76">
        <v>131</v>
      </c>
      <c r="D229" s="72" t="s">
        <v>4689</v>
      </c>
      <c r="E229" s="73" t="s">
        <v>19</v>
      </c>
      <c r="F229" s="75">
        <v>42102</v>
      </c>
      <c r="G229" s="82">
        <f>137.1</f>
        <v>137.1</v>
      </c>
      <c r="H229" s="79"/>
      <c r="I229" s="79"/>
      <c r="J229" s="79"/>
      <c r="K229" s="79"/>
      <c r="L229" s="79"/>
      <c r="M229" s="79"/>
      <c r="N229" s="79"/>
      <c r="O229" s="79"/>
      <c r="P229" s="79"/>
      <c r="Q229" s="79">
        <f t="shared" si="9"/>
        <v>137.1</v>
      </c>
      <c r="R229" s="79">
        <f t="shared" si="10"/>
        <v>0</v>
      </c>
      <c r="S229" s="79">
        <f t="shared" si="11"/>
        <v>137.1</v>
      </c>
    </row>
    <row r="230" spans="1:19" x14ac:dyDescent="0.2">
      <c r="A230" s="102" t="s">
        <v>4557</v>
      </c>
      <c r="B230" s="71" t="s">
        <v>4624</v>
      </c>
      <c r="C230" s="76">
        <v>131</v>
      </c>
      <c r="D230" s="72" t="s">
        <v>4690</v>
      </c>
      <c r="E230" s="73" t="s">
        <v>19</v>
      </c>
      <c r="F230" s="75">
        <v>42102</v>
      </c>
      <c r="G230" s="82">
        <f>84.4</f>
        <v>84.4</v>
      </c>
      <c r="H230" s="79"/>
      <c r="I230" s="79"/>
      <c r="J230" s="79"/>
      <c r="K230" s="79"/>
      <c r="L230" s="79"/>
      <c r="M230" s="79"/>
      <c r="N230" s="79"/>
      <c r="O230" s="79"/>
      <c r="P230" s="79"/>
      <c r="Q230" s="79">
        <f t="shared" si="9"/>
        <v>84.4</v>
      </c>
      <c r="R230" s="79">
        <f t="shared" si="10"/>
        <v>0</v>
      </c>
      <c r="S230" s="79">
        <f t="shared" si="11"/>
        <v>84.4</v>
      </c>
    </row>
    <row r="231" spans="1:19" x14ac:dyDescent="0.2">
      <c r="A231" s="102" t="s">
        <v>4557</v>
      </c>
      <c r="B231" s="71" t="s">
        <v>4624</v>
      </c>
      <c r="C231" s="76">
        <v>131</v>
      </c>
      <c r="D231" s="72" t="s">
        <v>4691</v>
      </c>
      <c r="E231" s="73" t="s">
        <v>19</v>
      </c>
      <c r="F231" s="75">
        <v>42102</v>
      </c>
      <c r="G231" s="82">
        <f>105</f>
        <v>105</v>
      </c>
      <c r="H231" s="79"/>
      <c r="I231" s="79"/>
      <c r="J231" s="79"/>
      <c r="K231" s="79"/>
      <c r="L231" s="79"/>
      <c r="M231" s="79"/>
      <c r="N231" s="79"/>
      <c r="O231" s="79"/>
      <c r="P231" s="79"/>
      <c r="Q231" s="79">
        <f t="shared" si="9"/>
        <v>105</v>
      </c>
      <c r="R231" s="79">
        <f t="shared" si="10"/>
        <v>0</v>
      </c>
      <c r="S231" s="79">
        <f t="shared" si="11"/>
        <v>105</v>
      </c>
    </row>
    <row r="232" spans="1:19" x14ac:dyDescent="0.2">
      <c r="A232" s="102" t="s">
        <v>4557</v>
      </c>
      <c r="B232" s="71" t="s">
        <v>4624</v>
      </c>
      <c r="C232" s="76">
        <v>131</v>
      </c>
      <c r="D232" s="72" t="s">
        <v>4692</v>
      </c>
      <c r="E232" s="73" t="s">
        <v>19</v>
      </c>
      <c r="F232" s="75">
        <v>42102</v>
      </c>
      <c r="G232" s="82">
        <f>57.97+4010+267.07+3162.8+579.4+485+94+70+215+35</f>
        <v>8976.24</v>
      </c>
      <c r="H232" s="79"/>
      <c r="I232" s="79">
        <f>750+1500+750+100+750</f>
        <v>3850</v>
      </c>
      <c r="J232" s="79"/>
      <c r="K232" s="79"/>
      <c r="L232" s="79"/>
      <c r="M232" s="79"/>
      <c r="N232" s="79"/>
      <c r="O232" s="79"/>
      <c r="P232" s="79"/>
      <c r="Q232" s="79">
        <f t="shared" si="9"/>
        <v>12826.24</v>
      </c>
      <c r="R232" s="79">
        <f t="shared" si="10"/>
        <v>0</v>
      </c>
      <c r="S232" s="79">
        <f t="shared" si="11"/>
        <v>12826.24</v>
      </c>
    </row>
    <row r="233" spans="1:19" x14ac:dyDescent="0.2">
      <c r="A233" s="102" t="s">
        <v>4558</v>
      </c>
      <c r="B233" s="71" t="s">
        <v>4625</v>
      </c>
      <c r="C233" s="76">
        <v>132</v>
      </c>
      <c r="D233" s="72" t="s">
        <v>4693</v>
      </c>
      <c r="E233" s="73" t="s">
        <v>19</v>
      </c>
      <c r="F233" s="75">
        <v>42102</v>
      </c>
      <c r="G233" s="82">
        <f>610+572</f>
        <v>1182</v>
      </c>
      <c r="H233" s="79"/>
      <c r="I233" s="79"/>
      <c r="J233" s="79"/>
      <c r="K233" s="79"/>
      <c r="L233" s="79"/>
      <c r="M233" s="79"/>
      <c r="N233" s="79"/>
      <c r="O233" s="79"/>
      <c r="P233" s="79"/>
      <c r="Q233" s="79">
        <f t="shared" si="9"/>
        <v>1182</v>
      </c>
      <c r="R233" s="79">
        <f t="shared" si="10"/>
        <v>0</v>
      </c>
      <c r="S233" s="79">
        <f t="shared" si="11"/>
        <v>1182</v>
      </c>
    </row>
    <row r="234" spans="1:19" x14ac:dyDescent="0.2">
      <c r="A234" s="102" t="s">
        <v>4559</v>
      </c>
      <c r="B234" s="71" t="s">
        <v>4626</v>
      </c>
      <c r="C234" s="76">
        <v>133</v>
      </c>
      <c r="D234" s="72" t="s">
        <v>4694</v>
      </c>
      <c r="E234" s="73" t="s">
        <v>19</v>
      </c>
      <c r="F234" s="75">
        <v>42102</v>
      </c>
      <c r="G234" s="82">
        <f>48</f>
        <v>48</v>
      </c>
      <c r="H234" s="79"/>
      <c r="I234" s="79"/>
      <c r="J234" s="79"/>
      <c r="K234" s="79"/>
      <c r="L234" s="79"/>
      <c r="M234" s="79"/>
      <c r="N234" s="79"/>
      <c r="O234" s="79"/>
      <c r="P234" s="79"/>
      <c r="Q234" s="79">
        <f t="shared" si="9"/>
        <v>48</v>
      </c>
      <c r="R234" s="79">
        <f t="shared" si="10"/>
        <v>0</v>
      </c>
      <c r="S234" s="79">
        <f t="shared" si="11"/>
        <v>48</v>
      </c>
    </row>
    <row r="235" spans="1:19" x14ac:dyDescent="0.2">
      <c r="A235" s="102" t="s">
        <v>4560</v>
      </c>
      <c r="B235" s="71" t="s">
        <v>4627</v>
      </c>
      <c r="C235" s="76">
        <v>134</v>
      </c>
      <c r="D235" s="72" t="s">
        <v>4695</v>
      </c>
      <c r="E235" s="73" t="s">
        <v>19</v>
      </c>
      <c r="F235" s="75">
        <v>42102</v>
      </c>
      <c r="G235" s="82">
        <f>117.1</f>
        <v>117.1</v>
      </c>
      <c r="H235" s="79"/>
      <c r="I235" s="79"/>
      <c r="J235" s="79"/>
      <c r="K235" s="79"/>
      <c r="L235" s="79"/>
      <c r="M235" s="79"/>
      <c r="N235" s="79"/>
      <c r="O235" s="79"/>
      <c r="P235" s="79"/>
      <c r="Q235" s="79">
        <f t="shared" si="9"/>
        <v>117.1</v>
      </c>
      <c r="R235" s="79">
        <f t="shared" si="10"/>
        <v>0</v>
      </c>
      <c r="S235" s="79">
        <f t="shared" si="11"/>
        <v>117.1</v>
      </c>
    </row>
    <row r="236" spans="1:19" x14ac:dyDescent="0.2">
      <c r="A236" s="102" t="s">
        <v>4560</v>
      </c>
      <c r="B236" s="71" t="s">
        <v>4627</v>
      </c>
      <c r="C236" s="76">
        <v>134</v>
      </c>
      <c r="D236" s="72" t="s">
        <v>4696</v>
      </c>
      <c r="E236" s="73" t="s">
        <v>19</v>
      </c>
      <c r="F236" s="75">
        <v>42102</v>
      </c>
      <c r="G236" s="82">
        <f>59.9</f>
        <v>59.9</v>
      </c>
      <c r="H236" s="79"/>
      <c r="I236" s="79"/>
      <c r="J236" s="79"/>
      <c r="K236" s="79"/>
      <c r="L236" s="79"/>
      <c r="M236" s="79"/>
      <c r="N236" s="79"/>
      <c r="O236" s="79"/>
      <c r="P236" s="79"/>
      <c r="Q236" s="79">
        <f t="shared" si="9"/>
        <v>59.9</v>
      </c>
      <c r="R236" s="79">
        <f t="shared" si="10"/>
        <v>0</v>
      </c>
      <c r="S236" s="79">
        <f t="shared" si="11"/>
        <v>59.9</v>
      </c>
    </row>
    <row r="237" spans="1:19" x14ac:dyDescent="0.2">
      <c r="A237" s="102" t="s">
        <v>4561</v>
      </c>
      <c r="B237" s="71" t="s">
        <v>4628</v>
      </c>
      <c r="C237" s="76">
        <v>135</v>
      </c>
      <c r="D237" s="72" t="s">
        <v>4943</v>
      </c>
      <c r="E237" s="73" t="s">
        <v>19</v>
      </c>
      <c r="F237" s="75">
        <v>42102</v>
      </c>
      <c r="G237" s="82">
        <f>266</f>
        <v>266</v>
      </c>
      <c r="H237" s="79"/>
      <c r="I237" s="79"/>
      <c r="J237" s="79"/>
      <c r="K237" s="79"/>
      <c r="L237" s="79"/>
      <c r="M237" s="79"/>
      <c r="N237" s="79"/>
      <c r="O237" s="79"/>
      <c r="P237" s="79"/>
      <c r="Q237" s="79">
        <f t="shared" si="9"/>
        <v>266</v>
      </c>
      <c r="R237" s="79">
        <f t="shared" si="10"/>
        <v>0</v>
      </c>
      <c r="S237" s="79">
        <f t="shared" si="11"/>
        <v>266</v>
      </c>
    </row>
    <row r="238" spans="1:19" x14ac:dyDescent="0.2">
      <c r="A238" s="102" t="s">
        <v>4562</v>
      </c>
      <c r="B238" s="71" t="s">
        <v>4629</v>
      </c>
      <c r="C238" s="76">
        <v>136</v>
      </c>
      <c r="D238" s="72" t="s">
        <v>4697</v>
      </c>
      <c r="E238" s="73" t="s">
        <v>19</v>
      </c>
      <c r="F238" s="75">
        <v>42102</v>
      </c>
      <c r="G238" s="82">
        <f>344.5+610</f>
        <v>954.5</v>
      </c>
      <c r="H238" s="79"/>
      <c r="I238" s="79"/>
      <c r="J238" s="79"/>
      <c r="K238" s="79"/>
      <c r="L238" s="79"/>
      <c r="M238" s="79"/>
      <c r="N238" s="79"/>
      <c r="O238" s="79"/>
      <c r="P238" s="79"/>
      <c r="Q238" s="79">
        <f t="shared" si="9"/>
        <v>954.5</v>
      </c>
      <c r="R238" s="79">
        <f t="shared" si="10"/>
        <v>0</v>
      </c>
      <c r="S238" s="79">
        <f t="shared" si="11"/>
        <v>954.5</v>
      </c>
    </row>
    <row r="239" spans="1:19" x14ac:dyDescent="0.2">
      <c r="A239" s="102" t="s">
        <v>4563</v>
      </c>
      <c r="B239" s="71" t="s">
        <v>4630</v>
      </c>
      <c r="C239" s="76">
        <v>137</v>
      </c>
      <c r="D239" s="72" t="s">
        <v>4698</v>
      </c>
      <c r="E239" s="73" t="s">
        <v>19</v>
      </c>
      <c r="F239" s="75">
        <v>42102</v>
      </c>
      <c r="G239" s="82">
        <f>133.9</f>
        <v>133.9</v>
      </c>
      <c r="H239" s="79"/>
      <c r="I239" s="79"/>
      <c r="J239" s="79"/>
      <c r="K239" s="79"/>
      <c r="L239" s="79"/>
      <c r="M239" s="79"/>
      <c r="N239" s="79"/>
      <c r="O239" s="79"/>
      <c r="P239" s="79"/>
      <c r="Q239" s="79">
        <f t="shared" si="9"/>
        <v>133.9</v>
      </c>
      <c r="R239" s="79">
        <f t="shared" si="10"/>
        <v>0</v>
      </c>
      <c r="S239" s="79">
        <f t="shared" si="11"/>
        <v>133.9</v>
      </c>
    </row>
    <row r="240" spans="1:19" x14ac:dyDescent="0.2">
      <c r="A240" s="102" t="s">
        <v>4563</v>
      </c>
      <c r="B240" s="71" t="s">
        <v>4630</v>
      </c>
      <c r="C240" s="76">
        <v>137</v>
      </c>
      <c r="D240" s="72" t="s">
        <v>4699</v>
      </c>
      <c r="E240" s="73" t="s">
        <v>19</v>
      </c>
      <c r="F240" s="75">
        <v>42102</v>
      </c>
      <c r="G240" s="82">
        <f>107.8</f>
        <v>107.8</v>
      </c>
      <c r="H240" s="79"/>
      <c r="I240" s="79"/>
      <c r="J240" s="79"/>
      <c r="K240" s="79"/>
      <c r="L240" s="79"/>
      <c r="M240" s="79"/>
      <c r="N240" s="79"/>
      <c r="O240" s="79"/>
      <c r="P240" s="79"/>
      <c r="Q240" s="79">
        <f t="shared" si="9"/>
        <v>107.8</v>
      </c>
      <c r="R240" s="79">
        <f t="shared" si="10"/>
        <v>0</v>
      </c>
      <c r="S240" s="79">
        <f t="shared" si="11"/>
        <v>107.8</v>
      </c>
    </row>
    <row r="241" spans="1:19" x14ac:dyDescent="0.2">
      <c r="A241" s="102" t="s">
        <v>4563</v>
      </c>
      <c r="B241" s="71" t="s">
        <v>4630</v>
      </c>
      <c r="C241" s="76">
        <v>137</v>
      </c>
      <c r="D241" s="72" t="s">
        <v>4700</v>
      </c>
      <c r="E241" s="73" t="s">
        <v>19</v>
      </c>
      <c r="F241" s="75">
        <v>42102</v>
      </c>
      <c r="G241" s="82">
        <f>40</f>
        <v>40</v>
      </c>
      <c r="H241" s="79"/>
      <c r="I241" s="79"/>
      <c r="J241" s="79"/>
      <c r="K241" s="79"/>
      <c r="L241" s="79"/>
      <c r="M241" s="79"/>
      <c r="N241" s="79"/>
      <c r="O241" s="79"/>
      <c r="P241" s="79"/>
      <c r="Q241" s="79">
        <f t="shared" si="9"/>
        <v>40</v>
      </c>
      <c r="R241" s="79">
        <f t="shared" si="10"/>
        <v>0</v>
      </c>
      <c r="S241" s="79">
        <f t="shared" si="11"/>
        <v>40</v>
      </c>
    </row>
    <row r="242" spans="1:19" x14ac:dyDescent="0.2">
      <c r="A242" s="102" t="s">
        <v>4563</v>
      </c>
      <c r="B242" s="71" t="s">
        <v>4630</v>
      </c>
      <c r="C242" s="76">
        <v>137</v>
      </c>
      <c r="D242" s="72" t="s">
        <v>4701</v>
      </c>
      <c r="E242" s="73" t="s">
        <v>19</v>
      </c>
      <c r="F242" s="75">
        <v>42102</v>
      </c>
      <c r="G242" s="82">
        <f>49.2</f>
        <v>49.2</v>
      </c>
      <c r="H242" s="79"/>
      <c r="I242" s="79"/>
      <c r="J242" s="79"/>
      <c r="K242" s="79"/>
      <c r="L242" s="79"/>
      <c r="M242" s="79"/>
      <c r="N242" s="79"/>
      <c r="O242" s="79"/>
      <c r="P242" s="79"/>
      <c r="Q242" s="79">
        <f t="shared" si="9"/>
        <v>49.2</v>
      </c>
      <c r="R242" s="79">
        <f t="shared" si="10"/>
        <v>0</v>
      </c>
      <c r="S242" s="79">
        <f t="shared" si="11"/>
        <v>49.2</v>
      </c>
    </row>
    <row r="243" spans="1:19" x14ac:dyDescent="0.2">
      <c r="A243" s="102" t="s">
        <v>4564</v>
      </c>
      <c r="B243" s="71" t="s">
        <v>4631</v>
      </c>
      <c r="C243" s="76">
        <v>138</v>
      </c>
      <c r="D243" s="72" t="s">
        <v>4944</v>
      </c>
      <c r="E243" s="73" t="s">
        <v>19</v>
      </c>
      <c r="F243" s="75">
        <v>42102</v>
      </c>
      <c r="G243" s="82">
        <f>42.2</f>
        <v>42.2</v>
      </c>
      <c r="H243" s="79"/>
      <c r="I243" s="79"/>
      <c r="J243" s="79"/>
      <c r="K243" s="79"/>
      <c r="L243" s="79"/>
      <c r="M243" s="79"/>
      <c r="N243" s="79"/>
      <c r="O243" s="79"/>
      <c r="P243" s="79"/>
      <c r="Q243" s="79">
        <f t="shared" si="9"/>
        <v>42.2</v>
      </c>
      <c r="R243" s="79">
        <f t="shared" si="10"/>
        <v>0</v>
      </c>
      <c r="S243" s="79">
        <f t="shared" si="11"/>
        <v>42.2</v>
      </c>
    </row>
    <row r="244" spans="1:19" x14ac:dyDescent="0.2">
      <c r="A244" s="102" t="s">
        <v>4564</v>
      </c>
      <c r="B244" s="71" t="s">
        <v>4631</v>
      </c>
      <c r="C244" s="76">
        <v>138</v>
      </c>
      <c r="D244" s="72" t="s">
        <v>4702</v>
      </c>
      <c r="E244" s="73" t="s">
        <v>19</v>
      </c>
      <c r="F244" s="75">
        <v>42102</v>
      </c>
      <c r="G244" s="82">
        <f>40</f>
        <v>40</v>
      </c>
      <c r="H244" s="79"/>
      <c r="I244" s="79"/>
      <c r="J244" s="79"/>
      <c r="K244" s="79"/>
      <c r="L244" s="79"/>
      <c r="M244" s="79"/>
      <c r="N244" s="79"/>
      <c r="O244" s="79"/>
      <c r="P244" s="79"/>
      <c r="Q244" s="79">
        <f t="shared" si="9"/>
        <v>40</v>
      </c>
      <c r="R244" s="79">
        <f t="shared" si="10"/>
        <v>0</v>
      </c>
      <c r="S244" s="79">
        <f t="shared" si="11"/>
        <v>40</v>
      </c>
    </row>
    <row r="245" spans="1:19" x14ac:dyDescent="0.2">
      <c r="A245" s="102" t="s">
        <v>4565</v>
      </c>
      <c r="B245" s="71" t="s">
        <v>4632</v>
      </c>
      <c r="C245" s="76">
        <v>139</v>
      </c>
      <c r="D245" s="72" t="s">
        <v>4703</v>
      </c>
      <c r="E245" s="73" t="s">
        <v>19</v>
      </c>
      <c r="F245" s="75">
        <v>42103</v>
      </c>
      <c r="G245" s="82">
        <f>293.2</f>
        <v>293.2</v>
      </c>
      <c r="H245" s="79"/>
      <c r="I245" s="79"/>
      <c r="J245" s="79"/>
      <c r="K245" s="79"/>
      <c r="L245" s="79"/>
      <c r="M245" s="79"/>
      <c r="N245" s="79"/>
      <c r="O245" s="79"/>
      <c r="P245" s="79"/>
      <c r="Q245" s="79">
        <f t="shared" si="9"/>
        <v>293.2</v>
      </c>
      <c r="R245" s="79">
        <f t="shared" si="10"/>
        <v>0</v>
      </c>
      <c r="S245" s="79">
        <f t="shared" si="11"/>
        <v>293.2</v>
      </c>
    </row>
    <row r="246" spans="1:19" x14ac:dyDescent="0.2">
      <c r="A246" s="102" t="s">
        <v>4566</v>
      </c>
      <c r="B246" s="71" t="s">
        <v>4633</v>
      </c>
      <c r="C246" s="76">
        <v>140</v>
      </c>
      <c r="D246" s="72" t="s">
        <v>4704</v>
      </c>
      <c r="E246" s="73" t="s">
        <v>19</v>
      </c>
      <c r="F246" s="75">
        <v>42103</v>
      </c>
      <c r="G246" s="82">
        <f>147</f>
        <v>147</v>
      </c>
      <c r="H246" s="79"/>
      <c r="I246" s="79"/>
      <c r="J246" s="79"/>
      <c r="K246" s="79"/>
      <c r="L246" s="79"/>
      <c r="M246" s="79"/>
      <c r="N246" s="79"/>
      <c r="O246" s="79"/>
      <c r="P246" s="79"/>
      <c r="Q246" s="79">
        <f t="shared" si="9"/>
        <v>147</v>
      </c>
      <c r="R246" s="79">
        <f t="shared" si="10"/>
        <v>0</v>
      </c>
      <c r="S246" s="79">
        <f t="shared" si="11"/>
        <v>147</v>
      </c>
    </row>
    <row r="247" spans="1:19" x14ac:dyDescent="0.2">
      <c r="A247" s="102" t="s">
        <v>4567</v>
      </c>
      <c r="B247" s="71" t="s">
        <v>4634</v>
      </c>
      <c r="C247" s="76">
        <v>141</v>
      </c>
      <c r="D247" s="72" t="s">
        <v>4705</v>
      </c>
      <c r="E247" s="73" t="s">
        <v>19</v>
      </c>
      <c r="F247" s="75">
        <v>42103</v>
      </c>
      <c r="G247" s="82">
        <f>228</f>
        <v>228</v>
      </c>
      <c r="H247" s="79"/>
      <c r="I247" s="79"/>
      <c r="J247" s="79"/>
      <c r="K247" s="79"/>
      <c r="L247" s="79"/>
      <c r="M247" s="79"/>
      <c r="N247" s="79"/>
      <c r="O247" s="79"/>
      <c r="P247" s="79"/>
      <c r="Q247" s="79">
        <f t="shared" si="9"/>
        <v>228</v>
      </c>
      <c r="R247" s="79">
        <f t="shared" si="10"/>
        <v>0</v>
      </c>
      <c r="S247" s="79">
        <f t="shared" si="11"/>
        <v>228</v>
      </c>
    </row>
    <row r="248" spans="1:19" x14ac:dyDescent="0.2">
      <c r="A248" s="102" t="s">
        <v>4567</v>
      </c>
      <c r="B248" s="71" t="s">
        <v>4634</v>
      </c>
      <c r="C248" s="76">
        <v>141</v>
      </c>
      <c r="D248" s="72" t="s">
        <v>4706</v>
      </c>
      <c r="E248" s="73" t="s">
        <v>19</v>
      </c>
      <c r="F248" s="75">
        <v>42103</v>
      </c>
      <c r="G248" s="82">
        <f>280+259</f>
        <v>539</v>
      </c>
      <c r="H248" s="79"/>
      <c r="I248" s="79"/>
      <c r="J248" s="79"/>
      <c r="K248" s="79"/>
      <c r="L248" s="79"/>
      <c r="M248" s="79"/>
      <c r="N248" s="79"/>
      <c r="O248" s="79"/>
      <c r="P248" s="79"/>
      <c r="Q248" s="79">
        <f t="shared" si="9"/>
        <v>539</v>
      </c>
      <c r="R248" s="79">
        <f t="shared" si="10"/>
        <v>0</v>
      </c>
      <c r="S248" s="79">
        <f t="shared" si="11"/>
        <v>539</v>
      </c>
    </row>
    <row r="249" spans="1:19" x14ac:dyDescent="0.2">
      <c r="A249" s="102" t="s">
        <v>4568</v>
      </c>
      <c r="B249" s="71" t="s">
        <v>4635</v>
      </c>
      <c r="C249" s="76">
        <v>142</v>
      </c>
      <c r="D249" s="72" t="s">
        <v>4707</v>
      </c>
      <c r="E249" s="73" t="s">
        <v>19</v>
      </c>
      <c r="F249" s="75">
        <v>42104</v>
      </c>
      <c r="G249" s="82">
        <f>240+467.28</f>
        <v>707.28</v>
      </c>
      <c r="H249" s="79"/>
      <c r="I249" s="79">
        <f>250</f>
        <v>250</v>
      </c>
      <c r="J249" s="79"/>
      <c r="K249" s="79"/>
      <c r="L249" s="79"/>
      <c r="M249" s="79"/>
      <c r="N249" s="79"/>
      <c r="O249" s="79"/>
      <c r="P249" s="79"/>
      <c r="Q249" s="79">
        <f t="shared" si="9"/>
        <v>957.28</v>
      </c>
      <c r="R249" s="79">
        <f t="shared" si="10"/>
        <v>0</v>
      </c>
      <c r="S249" s="79">
        <f t="shared" si="11"/>
        <v>957.28</v>
      </c>
    </row>
    <row r="250" spans="1:19" x14ac:dyDescent="0.2">
      <c r="A250" s="102" t="s">
        <v>4569</v>
      </c>
      <c r="B250" s="71" t="s">
        <v>4636</v>
      </c>
      <c r="C250" s="76">
        <v>143</v>
      </c>
      <c r="D250" s="72" t="s">
        <v>4708</v>
      </c>
      <c r="E250" s="73" t="s">
        <v>19</v>
      </c>
      <c r="F250" s="75">
        <v>42104</v>
      </c>
      <c r="G250" s="82">
        <f>117.1</f>
        <v>117.1</v>
      </c>
      <c r="H250" s="79"/>
      <c r="I250" s="79"/>
      <c r="J250" s="79"/>
      <c r="K250" s="79"/>
      <c r="L250" s="79"/>
      <c r="M250" s="79"/>
      <c r="N250" s="79"/>
      <c r="O250" s="79"/>
      <c r="P250" s="79"/>
      <c r="Q250" s="79">
        <f t="shared" si="9"/>
        <v>117.1</v>
      </c>
      <c r="R250" s="79">
        <f t="shared" si="10"/>
        <v>0</v>
      </c>
      <c r="S250" s="79">
        <f t="shared" si="11"/>
        <v>117.1</v>
      </c>
    </row>
    <row r="251" spans="1:19" x14ac:dyDescent="0.2">
      <c r="A251" s="102" t="s">
        <v>4570</v>
      </c>
      <c r="B251" s="71" t="s">
        <v>4637</v>
      </c>
      <c r="C251" s="76">
        <v>144</v>
      </c>
      <c r="D251" s="72" t="s">
        <v>4709</v>
      </c>
      <c r="E251" s="73" t="s">
        <v>19</v>
      </c>
      <c r="F251" s="75">
        <v>42107</v>
      </c>
      <c r="G251" s="82">
        <f>279</f>
        <v>279</v>
      </c>
      <c r="H251" s="79"/>
      <c r="I251" s="79"/>
      <c r="J251" s="79"/>
      <c r="K251" s="79"/>
      <c r="L251" s="79"/>
      <c r="M251" s="79"/>
      <c r="N251" s="79"/>
      <c r="O251" s="79"/>
      <c r="P251" s="79"/>
      <c r="Q251" s="79">
        <f t="shared" si="9"/>
        <v>279</v>
      </c>
      <c r="R251" s="79">
        <f t="shared" si="10"/>
        <v>0</v>
      </c>
      <c r="S251" s="79">
        <f t="shared" si="11"/>
        <v>279</v>
      </c>
    </row>
    <row r="252" spans="1:19" x14ac:dyDescent="0.2">
      <c r="A252" s="102" t="s">
        <v>4570</v>
      </c>
      <c r="B252" s="71" t="s">
        <v>4637</v>
      </c>
      <c r="C252" s="76">
        <v>144</v>
      </c>
      <c r="D252" s="72" t="s">
        <v>4710</v>
      </c>
      <c r="E252" s="73" t="s">
        <v>19</v>
      </c>
      <c r="F252" s="75">
        <v>42107</v>
      </c>
      <c r="G252" s="82">
        <f>161</f>
        <v>161</v>
      </c>
      <c r="H252" s="79"/>
      <c r="I252" s="79"/>
      <c r="J252" s="79"/>
      <c r="K252" s="79"/>
      <c r="L252" s="79"/>
      <c r="M252" s="79"/>
      <c r="N252" s="79"/>
      <c r="O252" s="79"/>
      <c r="P252" s="79"/>
      <c r="Q252" s="79">
        <f t="shared" si="9"/>
        <v>161</v>
      </c>
      <c r="R252" s="79">
        <f t="shared" si="10"/>
        <v>0</v>
      </c>
      <c r="S252" s="79">
        <f t="shared" si="11"/>
        <v>161</v>
      </c>
    </row>
    <row r="253" spans="1:19" x14ac:dyDescent="0.2">
      <c r="A253" s="102" t="s">
        <v>4571</v>
      </c>
      <c r="B253" s="71" t="s">
        <v>4638</v>
      </c>
      <c r="C253" s="76">
        <v>145</v>
      </c>
      <c r="D253" s="72" t="s">
        <v>4711</v>
      </c>
      <c r="E253" s="73" t="s">
        <v>19</v>
      </c>
      <c r="F253" s="75">
        <v>42107</v>
      </c>
      <c r="G253" s="82">
        <f>265.1</f>
        <v>265.10000000000002</v>
      </c>
      <c r="H253" s="79"/>
      <c r="I253" s="79"/>
      <c r="J253" s="79"/>
      <c r="K253" s="79"/>
      <c r="L253" s="79"/>
      <c r="M253" s="79"/>
      <c r="N253" s="79"/>
      <c r="O253" s="79"/>
      <c r="P253" s="79"/>
      <c r="Q253" s="79">
        <f t="shared" si="9"/>
        <v>265.10000000000002</v>
      </c>
      <c r="R253" s="79">
        <f t="shared" si="10"/>
        <v>0</v>
      </c>
      <c r="S253" s="79">
        <f t="shared" si="11"/>
        <v>265.10000000000002</v>
      </c>
    </row>
    <row r="254" spans="1:19" x14ac:dyDescent="0.2">
      <c r="A254" s="102" t="s">
        <v>4571</v>
      </c>
      <c r="B254" s="71" t="s">
        <v>4638</v>
      </c>
      <c r="C254" s="76">
        <v>145</v>
      </c>
      <c r="D254" s="72" t="s">
        <v>4712</v>
      </c>
      <c r="E254" s="73" t="s">
        <v>19</v>
      </c>
      <c r="F254" s="75">
        <v>42107</v>
      </c>
      <c r="G254" s="82">
        <f>78</f>
        <v>78</v>
      </c>
      <c r="H254" s="79"/>
      <c r="I254" s="79"/>
      <c r="J254" s="79"/>
      <c r="K254" s="79"/>
      <c r="L254" s="79"/>
      <c r="M254" s="79"/>
      <c r="N254" s="79"/>
      <c r="O254" s="79"/>
      <c r="P254" s="79"/>
      <c r="Q254" s="79">
        <f t="shared" si="9"/>
        <v>78</v>
      </c>
      <c r="R254" s="79">
        <f t="shared" si="10"/>
        <v>0</v>
      </c>
      <c r="S254" s="79">
        <f t="shared" si="11"/>
        <v>78</v>
      </c>
    </row>
    <row r="255" spans="1:19" x14ac:dyDescent="0.2">
      <c r="A255" s="102" t="s">
        <v>4572</v>
      </c>
      <c r="B255" s="71" t="s">
        <v>4639</v>
      </c>
      <c r="C255" s="76">
        <v>146</v>
      </c>
      <c r="D255" s="72" t="s">
        <v>4713</v>
      </c>
      <c r="E255" s="73" t="s">
        <v>19</v>
      </c>
      <c r="F255" s="75">
        <v>42108</v>
      </c>
      <c r="G255" s="82">
        <f>55.46+5677.07</f>
        <v>5732.53</v>
      </c>
      <c r="H255" s="79"/>
      <c r="I255" s="79"/>
      <c r="J255" s="79"/>
      <c r="K255" s="79"/>
      <c r="L255" s="79"/>
      <c r="M255" s="79"/>
      <c r="N255" s="79"/>
      <c r="O255" s="79"/>
      <c r="P255" s="79"/>
      <c r="Q255" s="79">
        <f t="shared" si="9"/>
        <v>5732.53</v>
      </c>
      <c r="R255" s="79">
        <f t="shared" si="10"/>
        <v>0</v>
      </c>
      <c r="S255" s="79">
        <f t="shared" si="11"/>
        <v>5732.53</v>
      </c>
    </row>
    <row r="256" spans="1:19" x14ac:dyDescent="0.2">
      <c r="A256" s="102" t="s">
        <v>4573</v>
      </c>
      <c r="B256" s="71" t="s">
        <v>4640</v>
      </c>
      <c r="C256" s="76">
        <v>147</v>
      </c>
      <c r="D256" s="72" t="s">
        <v>4714</v>
      </c>
      <c r="E256" s="73" t="s">
        <v>19</v>
      </c>
      <c r="F256" s="75">
        <v>42109</v>
      </c>
      <c r="G256" s="82">
        <f>148</f>
        <v>148</v>
      </c>
      <c r="H256" s="79"/>
      <c r="I256" s="79"/>
      <c r="J256" s="79"/>
      <c r="K256" s="79"/>
      <c r="L256" s="79"/>
      <c r="M256" s="79"/>
      <c r="N256" s="79"/>
      <c r="O256" s="79"/>
      <c r="P256" s="79"/>
      <c r="Q256" s="79">
        <f t="shared" si="9"/>
        <v>148</v>
      </c>
      <c r="R256" s="79">
        <f t="shared" si="10"/>
        <v>0</v>
      </c>
      <c r="S256" s="79">
        <f t="shared" si="11"/>
        <v>148</v>
      </c>
    </row>
    <row r="257" spans="1:19" x14ac:dyDescent="0.2">
      <c r="A257" s="102" t="s">
        <v>4574</v>
      </c>
      <c r="B257" s="71" t="s">
        <v>4641</v>
      </c>
      <c r="C257" s="76">
        <v>148</v>
      </c>
      <c r="D257" s="72" t="s">
        <v>4715</v>
      </c>
      <c r="E257" s="73" t="s">
        <v>19</v>
      </c>
      <c r="F257" s="75">
        <v>42109</v>
      </c>
      <c r="G257" s="82">
        <f>238+798.17+4250.5</f>
        <v>5286.67</v>
      </c>
      <c r="H257" s="79"/>
      <c r="I257" s="79"/>
      <c r="J257" s="79"/>
      <c r="K257" s="79"/>
      <c r="L257" s="79"/>
      <c r="M257" s="79">
        <f>3850</f>
        <v>3850</v>
      </c>
      <c r="N257" s="79"/>
      <c r="O257" s="79">
        <v>15400</v>
      </c>
      <c r="P257" s="79"/>
      <c r="Q257" s="79">
        <f t="shared" si="9"/>
        <v>24536.67</v>
      </c>
      <c r="R257" s="79">
        <f t="shared" si="10"/>
        <v>0</v>
      </c>
      <c r="S257" s="79">
        <f t="shared" si="11"/>
        <v>24536.67</v>
      </c>
    </row>
    <row r="258" spans="1:19" x14ac:dyDescent="0.2">
      <c r="A258" s="102" t="s">
        <v>4575</v>
      </c>
      <c r="B258" s="71" t="s">
        <v>4642</v>
      </c>
      <c r="C258" s="76">
        <v>149</v>
      </c>
      <c r="D258" s="72" t="s">
        <v>4716</v>
      </c>
      <c r="E258" s="73" t="s">
        <v>19</v>
      </c>
      <c r="F258" s="75">
        <v>42109</v>
      </c>
      <c r="G258" s="82">
        <f>137.79+843.26</f>
        <v>981.05</v>
      </c>
      <c r="H258" s="79"/>
      <c r="I258" s="79"/>
      <c r="J258" s="79"/>
      <c r="K258" s="79"/>
      <c r="L258" s="79"/>
      <c r="M258" s="79"/>
      <c r="N258" s="79"/>
      <c r="O258" s="79"/>
      <c r="P258" s="79"/>
      <c r="Q258" s="79">
        <f t="shared" si="9"/>
        <v>981.05</v>
      </c>
      <c r="R258" s="79">
        <f t="shared" si="10"/>
        <v>0</v>
      </c>
      <c r="S258" s="79">
        <f t="shared" si="11"/>
        <v>981.05</v>
      </c>
    </row>
    <row r="259" spans="1:19" x14ac:dyDescent="0.2">
      <c r="A259" s="102" t="s">
        <v>4576</v>
      </c>
      <c r="B259" s="71" t="s">
        <v>4643</v>
      </c>
      <c r="C259" s="76">
        <v>150</v>
      </c>
      <c r="D259" s="72" t="s">
        <v>4717</v>
      </c>
      <c r="E259" s="73" t="s">
        <v>19</v>
      </c>
      <c r="F259" s="75">
        <v>42110</v>
      </c>
      <c r="G259" s="82">
        <f>119.97+119.97+9479.56+41.3+41.3+1095.36</f>
        <v>10897.46</v>
      </c>
      <c r="H259" s="79"/>
      <c r="I259" s="79">
        <f>1000</f>
        <v>1000</v>
      </c>
      <c r="J259" s="79"/>
      <c r="K259" s="79"/>
      <c r="L259" s="79"/>
      <c r="M259" s="79"/>
      <c r="N259" s="79"/>
      <c r="O259" s="79"/>
      <c r="P259" s="79"/>
      <c r="Q259" s="79">
        <f t="shared" si="9"/>
        <v>11897.46</v>
      </c>
      <c r="R259" s="79">
        <f t="shared" si="10"/>
        <v>0</v>
      </c>
      <c r="S259" s="79">
        <f t="shared" si="11"/>
        <v>11897.46</v>
      </c>
    </row>
    <row r="260" spans="1:19" x14ac:dyDescent="0.2">
      <c r="A260" s="102" t="s">
        <v>4577</v>
      </c>
      <c r="B260" s="71" t="s">
        <v>4644</v>
      </c>
      <c r="C260" s="76">
        <v>151</v>
      </c>
      <c r="D260" s="72" t="s">
        <v>4718</v>
      </c>
      <c r="E260" s="73" t="s">
        <v>19</v>
      </c>
      <c r="F260" s="75">
        <v>42110</v>
      </c>
      <c r="G260" s="82">
        <f>170</f>
        <v>170</v>
      </c>
      <c r="H260" s="79"/>
      <c r="I260" s="79"/>
      <c r="J260" s="79"/>
      <c r="K260" s="79"/>
      <c r="L260" s="79"/>
      <c r="M260" s="79"/>
      <c r="N260" s="79"/>
      <c r="O260" s="79"/>
      <c r="P260" s="79"/>
      <c r="Q260" s="79">
        <f t="shared" si="9"/>
        <v>170</v>
      </c>
      <c r="R260" s="79">
        <f t="shared" si="10"/>
        <v>0</v>
      </c>
      <c r="S260" s="79">
        <f t="shared" si="11"/>
        <v>170</v>
      </c>
    </row>
    <row r="261" spans="1:19" x14ac:dyDescent="0.2">
      <c r="A261" s="102" t="s">
        <v>4577</v>
      </c>
      <c r="B261" s="71" t="s">
        <v>4644</v>
      </c>
      <c r="C261" s="76">
        <v>151</v>
      </c>
      <c r="D261" s="72" t="s">
        <v>4719</v>
      </c>
      <c r="E261" s="73" t="s">
        <v>19</v>
      </c>
      <c r="F261" s="75">
        <v>42110</v>
      </c>
      <c r="G261" s="82"/>
      <c r="H261" s="79"/>
      <c r="I261" s="79"/>
      <c r="J261" s="79"/>
      <c r="K261" s="79"/>
      <c r="L261" s="79"/>
      <c r="M261" s="79"/>
      <c r="N261" s="79"/>
      <c r="O261" s="79"/>
      <c r="P261" s="79"/>
      <c r="Q261" s="79">
        <f t="shared" si="9"/>
        <v>0</v>
      </c>
      <c r="R261" s="79">
        <f t="shared" si="10"/>
        <v>0</v>
      </c>
      <c r="S261" s="79">
        <f t="shared" si="11"/>
        <v>0</v>
      </c>
    </row>
    <row r="262" spans="1:19" x14ac:dyDescent="0.2">
      <c r="A262" s="102" t="s">
        <v>4578</v>
      </c>
      <c r="B262" s="71" t="s">
        <v>2086</v>
      </c>
      <c r="C262" s="76">
        <v>152</v>
      </c>
      <c r="D262" s="72" t="s">
        <v>4720</v>
      </c>
      <c r="E262" s="73" t="s">
        <v>19</v>
      </c>
      <c r="F262" s="75">
        <v>42110</v>
      </c>
      <c r="G262" s="82">
        <f>115.7</f>
        <v>115.7</v>
      </c>
      <c r="H262" s="79"/>
      <c r="I262" s="79"/>
      <c r="J262" s="79"/>
      <c r="K262" s="79"/>
      <c r="L262" s="79"/>
      <c r="M262" s="79"/>
      <c r="N262" s="79"/>
      <c r="O262" s="79"/>
      <c r="P262" s="79"/>
      <c r="Q262" s="79">
        <f t="shared" si="9"/>
        <v>115.7</v>
      </c>
      <c r="R262" s="79">
        <f t="shared" si="10"/>
        <v>0</v>
      </c>
      <c r="S262" s="79">
        <f t="shared" si="11"/>
        <v>115.7</v>
      </c>
    </row>
    <row r="263" spans="1:19" x14ac:dyDescent="0.2">
      <c r="A263" s="102" t="s">
        <v>4579</v>
      </c>
      <c r="B263" s="71" t="s">
        <v>4645</v>
      </c>
      <c r="C263" s="76">
        <v>153</v>
      </c>
      <c r="D263" s="72" t="s">
        <v>4721</v>
      </c>
      <c r="E263" s="73" t="s">
        <v>2068</v>
      </c>
      <c r="F263" s="75">
        <v>42111</v>
      </c>
      <c r="G263" s="82">
        <f>216+43.06</f>
        <v>259.06</v>
      </c>
      <c r="H263" s="79"/>
      <c r="I263" s="79"/>
      <c r="J263" s="79"/>
      <c r="K263" s="79"/>
      <c r="L263" s="79"/>
      <c r="M263" s="79"/>
      <c r="N263" s="79"/>
      <c r="O263" s="79"/>
      <c r="P263" s="79"/>
      <c r="Q263" s="79">
        <f t="shared" si="9"/>
        <v>259.06</v>
      </c>
      <c r="R263" s="79">
        <f t="shared" si="10"/>
        <v>0</v>
      </c>
      <c r="S263" s="79">
        <f t="shared" si="11"/>
        <v>259.06</v>
      </c>
    </row>
    <row r="264" spans="1:19" x14ac:dyDescent="0.2">
      <c r="A264" s="102" t="s">
        <v>4579</v>
      </c>
      <c r="B264" s="71" t="s">
        <v>4645</v>
      </c>
      <c r="C264" s="76">
        <v>153</v>
      </c>
      <c r="D264" s="72" t="s">
        <v>4722</v>
      </c>
      <c r="E264" s="73" t="s">
        <v>2068</v>
      </c>
      <c r="F264" s="75">
        <v>42111</v>
      </c>
      <c r="G264" s="82">
        <f>370.25+105.7+41.3</f>
        <v>517.25</v>
      </c>
      <c r="H264" s="79"/>
      <c r="I264" s="79"/>
      <c r="J264" s="79"/>
      <c r="K264" s="79"/>
      <c r="L264" s="79"/>
      <c r="M264" s="79"/>
      <c r="N264" s="79"/>
      <c r="O264" s="79"/>
      <c r="P264" s="79"/>
      <c r="Q264" s="79">
        <f t="shared" si="9"/>
        <v>517.25</v>
      </c>
      <c r="R264" s="79">
        <f t="shared" si="10"/>
        <v>0</v>
      </c>
      <c r="S264" s="79">
        <f t="shared" si="11"/>
        <v>517.25</v>
      </c>
    </row>
    <row r="265" spans="1:19" x14ac:dyDescent="0.2">
      <c r="A265" s="102" t="s">
        <v>4579</v>
      </c>
      <c r="B265" s="71" t="s">
        <v>4645</v>
      </c>
      <c r="C265" s="76">
        <v>153</v>
      </c>
      <c r="D265" s="72" t="s">
        <v>4723</v>
      </c>
      <c r="E265" s="73" t="s">
        <v>2068</v>
      </c>
      <c r="F265" s="75">
        <v>42111</v>
      </c>
      <c r="G265" s="82">
        <f>175.84</f>
        <v>175.84</v>
      </c>
      <c r="H265" s="79"/>
      <c r="I265" s="79"/>
      <c r="J265" s="79"/>
      <c r="K265" s="79"/>
      <c r="L265" s="79"/>
      <c r="M265" s="79"/>
      <c r="N265" s="79"/>
      <c r="O265" s="79"/>
      <c r="P265" s="79"/>
      <c r="Q265" s="79">
        <f t="shared" ref="Q265:Q327" si="12">+G265+I265+K265+M265+O265</f>
        <v>175.84</v>
      </c>
      <c r="R265" s="79">
        <f t="shared" ref="R265:R327" si="13">+H265+J265+L265+N265+P265</f>
        <v>0</v>
      </c>
      <c r="S265" s="79">
        <f t="shared" ref="S265:S327" si="14">+Q265+R265</f>
        <v>175.84</v>
      </c>
    </row>
    <row r="266" spans="1:19" x14ac:dyDescent="0.2">
      <c r="A266" s="102" t="s">
        <v>4580</v>
      </c>
      <c r="B266" s="71" t="s">
        <v>4646</v>
      </c>
      <c r="C266" s="76">
        <v>154</v>
      </c>
      <c r="D266" s="72" t="s">
        <v>4724</v>
      </c>
      <c r="E266" s="73" t="s">
        <v>19</v>
      </c>
      <c r="F266" s="75">
        <v>42111</v>
      </c>
      <c r="G266" s="82">
        <f>211.7+36.4</f>
        <v>248.1</v>
      </c>
      <c r="H266" s="79"/>
      <c r="I266" s="79">
        <f>750</f>
        <v>750</v>
      </c>
      <c r="J266" s="79"/>
      <c r="K266" s="79"/>
      <c r="L266" s="79"/>
      <c r="M266" s="79"/>
      <c r="N266" s="79"/>
      <c r="O266" s="79"/>
      <c r="P266" s="79"/>
      <c r="Q266" s="79">
        <f t="shared" si="12"/>
        <v>998.1</v>
      </c>
      <c r="R266" s="79">
        <f t="shared" si="13"/>
        <v>0</v>
      </c>
      <c r="S266" s="79">
        <f t="shared" si="14"/>
        <v>998.1</v>
      </c>
    </row>
    <row r="267" spans="1:19" x14ac:dyDescent="0.2">
      <c r="A267" s="102" t="s">
        <v>4581</v>
      </c>
      <c r="B267" s="71" t="s">
        <v>4647</v>
      </c>
      <c r="C267" s="76">
        <v>155</v>
      </c>
      <c r="D267" s="72" t="s">
        <v>4725</v>
      </c>
      <c r="E267" s="73" t="s">
        <v>19</v>
      </c>
      <c r="F267" s="75">
        <v>42114</v>
      </c>
      <c r="G267" s="82">
        <f>96.37+263.38</f>
        <v>359.75</v>
      </c>
      <c r="H267" s="79"/>
      <c r="I267" s="79"/>
      <c r="J267" s="79"/>
      <c r="K267" s="79"/>
      <c r="L267" s="79"/>
      <c r="M267" s="79"/>
      <c r="N267" s="79"/>
      <c r="O267" s="79"/>
      <c r="P267" s="79"/>
      <c r="Q267" s="79">
        <f t="shared" si="12"/>
        <v>359.75</v>
      </c>
      <c r="R267" s="79">
        <f t="shared" si="13"/>
        <v>0</v>
      </c>
      <c r="S267" s="79">
        <f t="shared" si="14"/>
        <v>359.75</v>
      </c>
    </row>
    <row r="268" spans="1:19" x14ac:dyDescent="0.2">
      <c r="A268" s="102" t="s">
        <v>4581</v>
      </c>
      <c r="B268" s="71" t="s">
        <v>4647</v>
      </c>
      <c r="C268" s="76">
        <v>155</v>
      </c>
      <c r="D268" s="72" t="s">
        <v>4726</v>
      </c>
      <c r="E268" s="73" t="s">
        <v>19</v>
      </c>
      <c r="F268" s="75">
        <v>42114</v>
      </c>
      <c r="G268" s="82">
        <f>48.03</f>
        <v>48.03</v>
      </c>
      <c r="H268" s="79"/>
      <c r="I268" s="79"/>
      <c r="J268" s="79"/>
      <c r="K268" s="79"/>
      <c r="L268" s="79"/>
      <c r="M268" s="79"/>
      <c r="N268" s="79"/>
      <c r="O268" s="79"/>
      <c r="P268" s="79"/>
      <c r="Q268" s="79">
        <f t="shared" si="12"/>
        <v>48.03</v>
      </c>
      <c r="R268" s="79">
        <f t="shared" si="13"/>
        <v>0</v>
      </c>
      <c r="S268" s="79">
        <f t="shared" si="14"/>
        <v>48.03</v>
      </c>
    </row>
    <row r="269" spans="1:19" x14ac:dyDescent="0.2">
      <c r="A269" s="102" t="s">
        <v>4582</v>
      </c>
      <c r="B269" s="71" t="s">
        <v>4648</v>
      </c>
      <c r="C269" s="76">
        <v>156</v>
      </c>
      <c r="D269" s="72" t="s">
        <v>4727</v>
      </c>
      <c r="E269" s="73" t="s">
        <v>19</v>
      </c>
      <c r="F269" s="75">
        <v>42114</v>
      </c>
      <c r="G269" s="82">
        <f>4149.36+379.09+41.3+41.3+41.3+41.3+41.3</f>
        <v>4734.9500000000007</v>
      </c>
      <c r="H269" s="79"/>
      <c r="I269" s="79">
        <f>2300</f>
        <v>2300</v>
      </c>
      <c r="J269" s="79"/>
      <c r="K269" s="79"/>
      <c r="L269" s="79"/>
      <c r="M269" s="79"/>
      <c r="N269" s="79"/>
      <c r="O269" s="79"/>
      <c r="P269" s="79"/>
      <c r="Q269" s="79">
        <f t="shared" si="12"/>
        <v>7034.9500000000007</v>
      </c>
      <c r="R269" s="79">
        <f t="shared" si="13"/>
        <v>0</v>
      </c>
      <c r="S269" s="79">
        <f t="shared" si="14"/>
        <v>7034.9500000000007</v>
      </c>
    </row>
    <row r="270" spans="1:19" x14ac:dyDescent="0.2">
      <c r="A270" s="102" t="s">
        <v>4583</v>
      </c>
      <c r="B270" s="71" t="s">
        <v>4649</v>
      </c>
      <c r="C270" s="76">
        <v>157</v>
      </c>
      <c r="D270" s="72" t="s">
        <v>4728</v>
      </c>
      <c r="E270" s="73" t="s">
        <v>19</v>
      </c>
      <c r="F270" s="75">
        <v>42115</v>
      </c>
      <c r="G270" s="82">
        <f>115.8</f>
        <v>115.8</v>
      </c>
      <c r="H270" s="79"/>
      <c r="I270" s="79"/>
      <c r="J270" s="79"/>
      <c r="K270" s="79"/>
      <c r="L270" s="79"/>
      <c r="M270" s="79"/>
      <c r="N270" s="79"/>
      <c r="O270" s="79"/>
      <c r="P270" s="79"/>
      <c r="Q270" s="79">
        <f t="shared" si="12"/>
        <v>115.8</v>
      </c>
      <c r="R270" s="79">
        <f t="shared" si="13"/>
        <v>0</v>
      </c>
      <c r="S270" s="79">
        <f t="shared" si="14"/>
        <v>115.8</v>
      </c>
    </row>
    <row r="271" spans="1:19" x14ac:dyDescent="0.2">
      <c r="A271" s="102" t="s">
        <v>3770</v>
      </c>
      <c r="B271" s="71" t="s">
        <v>3771</v>
      </c>
      <c r="C271" s="76">
        <v>158</v>
      </c>
      <c r="D271" s="72" t="s">
        <v>4729</v>
      </c>
      <c r="E271" s="73" t="s">
        <v>19</v>
      </c>
      <c r="F271" s="75">
        <v>42115</v>
      </c>
      <c r="G271" s="82">
        <f>120.8</f>
        <v>120.8</v>
      </c>
      <c r="H271" s="79"/>
      <c r="I271" s="79"/>
      <c r="J271" s="79"/>
      <c r="K271" s="79"/>
      <c r="L271" s="79"/>
      <c r="M271" s="79"/>
      <c r="N271" s="79"/>
      <c r="O271" s="79"/>
      <c r="P271" s="79"/>
      <c r="Q271" s="79">
        <f t="shared" si="12"/>
        <v>120.8</v>
      </c>
      <c r="R271" s="79">
        <f t="shared" si="13"/>
        <v>0</v>
      </c>
      <c r="S271" s="79">
        <f t="shared" si="14"/>
        <v>120.8</v>
      </c>
    </row>
    <row r="272" spans="1:19" x14ac:dyDescent="0.2">
      <c r="A272" s="102" t="s">
        <v>4584</v>
      </c>
      <c r="B272" s="71" t="s">
        <v>4650</v>
      </c>
      <c r="C272" s="76">
        <v>159</v>
      </c>
      <c r="D272" s="72" t="s">
        <v>4784</v>
      </c>
      <c r="E272" s="73"/>
      <c r="F272" s="75"/>
      <c r="G272" s="82"/>
      <c r="H272" s="79"/>
      <c r="I272" s="79"/>
      <c r="J272" s="79"/>
      <c r="K272" s="79"/>
      <c r="L272" s="79"/>
      <c r="M272" s="79"/>
      <c r="N272" s="79"/>
      <c r="O272" s="79"/>
      <c r="P272" s="79"/>
      <c r="Q272" s="79">
        <f t="shared" si="12"/>
        <v>0</v>
      </c>
      <c r="R272" s="79">
        <f t="shared" si="13"/>
        <v>0</v>
      </c>
      <c r="S272" s="79">
        <f t="shared" si="14"/>
        <v>0</v>
      </c>
    </row>
    <row r="273" spans="1:19" x14ac:dyDescent="0.2">
      <c r="A273" s="102" t="s">
        <v>4585</v>
      </c>
      <c r="B273" s="71" t="s">
        <v>4651</v>
      </c>
      <c r="C273" s="76">
        <v>160</v>
      </c>
      <c r="D273" s="72" t="s">
        <v>4730</v>
      </c>
      <c r="E273" s="73" t="s">
        <v>19</v>
      </c>
      <c r="F273" s="75">
        <v>42121</v>
      </c>
      <c r="G273" s="82">
        <f>147</f>
        <v>147</v>
      </c>
      <c r="H273" s="79"/>
      <c r="I273" s="79"/>
      <c r="J273" s="79"/>
      <c r="K273" s="79"/>
      <c r="L273" s="79"/>
      <c r="M273" s="79"/>
      <c r="N273" s="79"/>
      <c r="O273" s="79"/>
      <c r="P273" s="79"/>
      <c r="Q273" s="79">
        <f t="shared" si="12"/>
        <v>147</v>
      </c>
      <c r="R273" s="79">
        <f t="shared" si="13"/>
        <v>0</v>
      </c>
      <c r="S273" s="79">
        <f t="shared" si="14"/>
        <v>147</v>
      </c>
    </row>
    <row r="274" spans="1:19" x14ac:dyDescent="0.2">
      <c r="A274" s="102" t="s">
        <v>4586</v>
      </c>
      <c r="B274" s="71" t="s">
        <v>4652</v>
      </c>
      <c r="C274" s="76">
        <v>161</v>
      </c>
      <c r="D274" s="72" t="s">
        <v>4731</v>
      </c>
      <c r="E274" s="73" t="s">
        <v>19</v>
      </c>
      <c r="F274" s="75">
        <v>42121</v>
      </c>
      <c r="G274" s="82">
        <f>115</f>
        <v>115</v>
      </c>
      <c r="H274" s="79"/>
      <c r="I274" s="79"/>
      <c r="J274" s="79"/>
      <c r="K274" s="79"/>
      <c r="L274" s="79"/>
      <c r="M274" s="79"/>
      <c r="N274" s="79"/>
      <c r="O274" s="79"/>
      <c r="P274" s="79"/>
      <c r="Q274" s="79">
        <f t="shared" si="12"/>
        <v>115</v>
      </c>
      <c r="R274" s="79">
        <f t="shared" si="13"/>
        <v>0</v>
      </c>
      <c r="S274" s="79">
        <f t="shared" si="14"/>
        <v>115</v>
      </c>
    </row>
    <row r="275" spans="1:19" x14ac:dyDescent="0.2">
      <c r="A275" s="102" t="s">
        <v>4586</v>
      </c>
      <c r="B275" s="71" t="s">
        <v>4652</v>
      </c>
      <c r="C275" s="76">
        <v>161</v>
      </c>
      <c r="D275" s="72" t="s">
        <v>4732</v>
      </c>
      <c r="E275" s="73" t="s">
        <v>19</v>
      </c>
      <c r="F275" s="75">
        <v>42121</v>
      </c>
      <c r="G275" s="82">
        <f>147.5</f>
        <v>147.5</v>
      </c>
      <c r="H275" s="79"/>
      <c r="I275" s="79"/>
      <c r="J275" s="79"/>
      <c r="K275" s="79"/>
      <c r="L275" s="79"/>
      <c r="M275" s="79"/>
      <c r="N275" s="79"/>
      <c r="O275" s="79"/>
      <c r="P275" s="79"/>
      <c r="Q275" s="79">
        <f t="shared" si="12"/>
        <v>147.5</v>
      </c>
      <c r="R275" s="79">
        <f t="shared" si="13"/>
        <v>0</v>
      </c>
      <c r="S275" s="79">
        <f t="shared" si="14"/>
        <v>147.5</v>
      </c>
    </row>
    <row r="276" spans="1:19" x14ac:dyDescent="0.2">
      <c r="A276" s="102" t="s">
        <v>4587</v>
      </c>
      <c r="B276" s="71" t="s">
        <v>4653</v>
      </c>
      <c r="C276" s="76">
        <v>162</v>
      </c>
      <c r="D276" s="72" t="s">
        <v>4733</v>
      </c>
      <c r="E276" s="73" t="s">
        <v>19</v>
      </c>
      <c r="F276" s="75">
        <v>42121</v>
      </c>
      <c r="G276" s="82">
        <f>169</f>
        <v>169</v>
      </c>
      <c r="H276" s="79"/>
      <c r="I276" s="79"/>
      <c r="J276" s="79"/>
      <c r="K276" s="79"/>
      <c r="L276" s="79"/>
      <c r="M276" s="79"/>
      <c r="N276" s="79"/>
      <c r="O276" s="79"/>
      <c r="P276" s="79"/>
      <c r="Q276" s="79">
        <f t="shared" si="12"/>
        <v>169</v>
      </c>
      <c r="R276" s="79">
        <f t="shared" si="13"/>
        <v>0</v>
      </c>
      <c r="S276" s="79">
        <f t="shared" si="14"/>
        <v>169</v>
      </c>
    </row>
    <row r="277" spans="1:19" x14ac:dyDescent="0.2">
      <c r="A277" s="102" t="s">
        <v>4587</v>
      </c>
      <c r="B277" s="71" t="s">
        <v>4653</v>
      </c>
      <c r="C277" s="76">
        <v>162</v>
      </c>
      <c r="D277" s="72" t="s">
        <v>4734</v>
      </c>
      <c r="E277" s="73" t="s">
        <v>19</v>
      </c>
      <c r="F277" s="75">
        <v>42121</v>
      </c>
      <c r="G277" s="82">
        <f>187</f>
        <v>187</v>
      </c>
      <c r="H277" s="79"/>
      <c r="I277" s="79"/>
      <c r="J277" s="79"/>
      <c r="K277" s="79"/>
      <c r="L277" s="79"/>
      <c r="M277" s="79"/>
      <c r="N277" s="79"/>
      <c r="O277" s="79"/>
      <c r="P277" s="79"/>
      <c r="Q277" s="79">
        <f t="shared" si="12"/>
        <v>187</v>
      </c>
      <c r="R277" s="79">
        <f t="shared" si="13"/>
        <v>0</v>
      </c>
      <c r="S277" s="79">
        <f t="shared" si="14"/>
        <v>187</v>
      </c>
    </row>
    <row r="278" spans="1:19" x14ac:dyDescent="0.2">
      <c r="A278" s="102" t="s">
        <v>4588</v>
      </c>
      <c r="B278" s="71" t="s">
        <v>4654</v>
      </c>
      <c r="C278" s="76">
        <v>163</v>
      </c>
      <c r="D278" s="72" t="s">
        <v>4735</v>
      </c>
      <c r="E278" s="73" t="s">
        <v>19</v>
      </c>
      <c r="F278" s="75">
        <v>42121</v>
      </c>
      <c r="G278" s="82">
        <f>48</f>
        <v>48</v>
      </c>
      <c r="H278" s="79"/>
      <c r="I278" s="79"/>
      <c r="J278" s="79"/>
      <c r="K278" s="79"/>
      <c r="L278" s="79"/>
      <c r="M278" s="79"/>
      <c r="N278" s="79"/>
      <c r="O278" s="79"/>
      <c r="P278" s="79"/>
      <c r="Q278" s="79">
        <f t="shared" si="12"/>
        <v>48</v>
      </c>
      <c r="R278" s="79">
        <f t="shared" si="13"/>
        <v>0</v>
      </c>
      <c r="S278" s="79">
        <f t="shared" si="14"/>
        <v>48</v>
      </c>
    </row>
    <row r="279" spans="1:19" x14ac:dyDescent="0.2">
      <c r="A279" s="102" t="s">
        <v>4588</v>
      </c>
      <c r="B279" s="71" t="s">
        <v>4654</v>
      </c>
      <c r="C279" s="76">
        <v>163</v>
      </c>
      <c r="D279" s="72" t="s">
        <v>4736</v>
      </c>
      <c r="E279" s="73" t="s">
        <v>19</v>
      </c>
      <c r="F279" s="75">
        <v>42121</v>
      </c>
      <c r="G279" s="82">
        <f>48</f>
        <v>48</v>
      </c>
      <c r="H279" s="79"/>
      <c r="I279" s="79"/>
      <c r="J279" s="79"/>
      <c r="K279" s="79"/>
      <c r="L279" s="79"/>
      <c r="M279" s="79"/>
      <c r="N279" s="79"/>
      <c r="O279" s="79"/>
      <c r="P279" s="79"/>
      <c r="Q279" s="79">
        <f t="shared" si="12"/>
        <v>48</v>
      </c>
      <c r="R279" s="79">
        <f t="shared" si="13"/>
        <v>0</v>
      </c>
      <c r="S279" s="79">
        <f t="shared" si="14"/>
        <v>48</v>
      </c>
    </row>
    <row r="280" spans="1:19" x14ac:dyDescent="0.2">
      <c r="A280" s="102" t="s">
        <v>4589</v>
      </c>
      <c r="B280" s="71" t="s">
        <v>4655</v>
      </c>
      <c r="C280" s="76">
        <v>164</v>
      </c>
      <c r="D280" s="72" t="s">
        <v>4737</v>
      </c>
      <c r="E280" s="73" t="s">
        <v>19</v>
      </c>
      <c r="F280" s="75">
        <v>42121</v>
      </c>
      <c r="G280" s="82">
        <f>215.7</f>
        <v>215.7</v>
      </c>
      <c r="H280" s="79"/>
      <c r="I280" s="79"/>
      <c r="J280" s="79"/>
      <c r="K280" s="79"/>
      <c r="L280" s="79"/>
      <c r="M280" s="79"/>
      <c r="N280" s="79"/>
      <c r="O280" s="79"/>
      <c r="P280" s="79"/>
      <c r="Q280" s="79">
        <f t="shared" si="12"/>
        <v>215.7</v>
      </c>
      <c r="R280" s="79">
        <f t="shared" si="13"/>
        <v>0</v>
      </c>
      <c r="S280" s="79">
        <f t="shared" si="14"/>
        <v>215.7</v>
      </c>
    </row>
    <row r="281" spans="1:19" x14ac:dyDescent="0.2">
      <c r="A281" s="102" t="s">
        <v>4589</v>
      </c>
      <c r="B281" s="71" t="s">
        <v>4655</v>
      </c>
      <c r="C281" s="76">
        <v>164</v>
      </c>
      <c r="D281" s="72" t="s">
        <v>4738</v>
      </c>
      <c r="E281" s="73" t="s">
        <v>19</v>
      </c>
      <c r="F281" s="75">
        <v>42121</v>
      </c>
      <c r="G281" s="82">
        <f>198</f>
        <v>198</v>
      </c>
      <c r="H281" s="79"/>
      <c r="I281" s="79"/>
      <c r="J281" s="79"/>
      <c r="K281" s="79"/>
      <c r="L281" s="79"/>
      <c r="M281" s="79"/>
      <c r="N281" s="79"/>
      <c r="O281" s="79"/>
      <c r="P281" s="79"/>
      <c r="Q281" s="79">
        <f t="shared" si="12"/>
        <v>198</v>
      </c>
      <c r="R281" s="79">
        <f t="shared" si="13"/>
        <v>0</v>
      </c>
      <c r="S281" s="79">
        <f t="shared" si="14"/>
        <v>198</v>
      </c>
    </row>
    <row r="282" spans="1:19" x14ac:dyDescent="0.2">
      <c r="A282" s="102" t="s">
        <v>4589</v>
      </c>
      <c r="B282" s="71" t="s">
        <v>4655</v>
      </c>
      <c r="C282" s="76">
        <v>164</v>
      </c>
      <c r="D282" s="72" t="s">
        <v>4739</v>
      </c>
      <c r="E282" s="73" t="s">
        <v>19</v>
      </c>
      <c r="F282" s="75">
        <v>42121</v>
      </c>
      <c r="G282" s="82">
        <f>103.7</f>
        <v>103.7</v>
      </c>
      <c r="H282" s="79"/>
      <c r="I282" s="79"/>
      <c r="J282" s="79"/>
      <c r="K282" s="79"/>
      <c r="L282" s="79"/>
      <c r="M282" s="79"/>
      <c r="N282" s="79"/>
      <c r="O282" s="79"/>
      <c r="P282" s="79"/>
      <c r="Q282" s="79">
        <f t="shared" si="12"/>
        <v>103.7</v>
      </c>
      <c r="R282" s="79">
        <f t="shared" si="13"/>
        <v>0</v>
      </c>
      <c r="S282" s="79">
        <f t="shared" si="14"/>
        <v>103.7</v>
      </c>
    </row>
    <row r="283" spans="1:19" x14ac:dyDescent="0.2">
      <c r="A283" s="102" t="s">
        <v>4590</v>
      </c>
      <c r="B283" s="71" t="s">
        <v>4656</v>
      </c>
      <c r="C283" s="76">
        <v>165</v>
      </c>
      <c r="D283" s="72" t="s">
        <v>4740</v>
      </c>
      <c r="E283" s="73" t="s">
        <v>19</v>
      </c>
      <c r="F283" s="75">
        <v>42122</v>
      </c>
      <c r="G283" s="82">
        <f>192</f>
        <v>192</v>
      </c>
      <c r="H283" s="79"/>
      <c r="I283" s="79"/>
      <c r="J283" s="79"/>
      <c r="K283" s="79"/>
      <c r="L283" s="79"/>
      <c r="M283" s="79"/>
      <c r="N283" s="79"/>
      <c r="O283" s="79"/>
      <c r="P283" s="79"/>
      <c r="Q283" s="79">
        <f t="shared" si="12"/>
        <v>192</v>
      </c>
      <c r="R283" s="79">
        <f t="shared" si="13"/>
        <v>0</v>
      </c>
      <c r="S283" s="79">
        <f t="shared" si="14"/>
        <v>192</v>
      </c>
    </row>
    <row r="284" spans="1:19" x14ac:dyDescent="0.2">
      <c r="A284" s="102" t="s">
        <v>4591</v>
      </c>
      <c r="B284" s="71" t="s">
        <v>4657</v>
      </c>
      <c r="C284" s="76">
        <v>166</v>
      </c>
      <c r="D284" s="72" t="s">
        <v>4741</v>
      </c>
      <c r="E284" s="73" t="s">
        <v>19</v>
      </c>
      <c r="F284" s="75">
        <v>42122</v>
      </c>
      <c r="G284" s="82">
        <f>117.1</f>
        <v>117.1</v>
      </c>
      <c r="H284" s="79"/>
      <c r="I284" s="79"/>
      <c r="J284" s="79"/>
      <c r="K284" s="79"/>
      <c r="L284" s="79"/>
      <c r="M284" s="79"/>
      <c r="N284" s="79"/>
      <c r="O284" s="79"/>
      <c r="P284" s="79"/>
      <c r="Q284" s="79">
        <f t="shared" si="12"/>
        <v>117.1</v>
      </c>
      <c r="R284" s="79">
        <f t="shared" si="13"/>
        <v>0</v>
      </c>
      <c r="S284" s="79">
        <f t="shared" si="14"/>
        <v>117.1</v>
      </c>
    </row>
    <row r="285" spans="1:19" x14ac:dyDescent="0.2">
      <c r="A285" s="102" t="s">
        <v>4592</v>
      </c>
      <c r="B285" s="71" t="s">
        <v>4658</v>
      </c>
      <c r="C285" s="76">
        <v>167</v>
      </c>
      <c r="D285" s="72" t="s">
        <v>4742</v>
      </c>
      <c r="E285" s="73" t="s">
        <v>19</v>
      </c>
      <c r="F285" s="75">
        <v>42123</v>
      </c>
      <c r="G285" s="82">
        <f>407+512.21+15929.92+274.28+398.52+368.16+54.7+132.54+335+143.46+77.55+148.59+91.96+47.2+143.7</f>
        <v>19064.79</v>
      </c>
      <c r="H285" s="79"/>
      <c r="I285" s="79">
        <f>2250+1600</f>
        <v>3850</v>
      </c>
      <c r="J285" s="79"/>
      <c r="K285" s="79"/>
      <c r="L285" s="79"/>
      <c r="M285" s="79"/>
      <c r="N285" s="79"/>
      <c r="O285" s="79"/>
      <c r="P285" s="79"/>
      <c r="Q285" s="79">
        <f t="shared" si="12"/>
        <v>22914.79</v>
      </c>
      <c r="R285" s="79">
        <f t="shared" si="13"/>
        <v>0</v>
      </c>
      <c r="S285" s="79">
        <f t="shared" si="14"/>
        <v>22914.79</v>
      </c>
    </row>
    <row r="286" spans="1:19" x14ac:dyDescent="0.2">
      <c r="A286" s="102" t="s">
        <v>4592</v>
      </c>
      <c r="B286" s="71" t="s">
        <v>4658</v>
      </c>
      <c r="C286" s="76">
        <v>167</v>
      </c>
      <c r="D286" s="72" t="s">
        <v>4743</v>
      </c>
      <c r="E286" s="73" t="s">
        <v>19</v>
      </c>
      <c r="F286" s="75">
        <v>42123</v>
      </c>
      <c r="G286" s="82">
        <f>75</f>
        <v>75</v>
      </c>
      <c r="H286" s="79"/>
      <c r="I286" s="79"/>
      <c r="J286" s="79"/>
      <c r="K286" s="79"/>
      <c r="L286" s="79"/>
      <c r="M286" s="79"/>
      <c r="N286" s="79"/>
      <c r="O286" s="79"/>
      <c r="P286" s="79"/>
      <c r="Q286" s="79">
        <f t="shared" si="12"/>
        <v>75</v>
      </c>
      <c r="R286" s="79">
        <f t="shared" si="13"/>
        <v>0</v>
      </c>
      <c r="S286" s="79">
        <f t="shared" si="14"/>
        <v>75</v>
      </c>
    </row>
    <row r="287" spans="1:19" x14ac:dyDescent="0.2">
      <c r="A287" s="102" t="s">
        <v>4593</v>
      </c>
      <c r="B287" s="71" t="s">
        <v>4659</v>
      </c>
      <c r="C287" s="76">
        <v>168</v>
      </c>
      <c r="D287" s="72" t="s">
        <v>4744</v>
      </c>
      <c r="E287" s="73" t="s">
        <v>19</v>
      </c>
      <c r="F287" s="75">
        <v>42123</v>
      </c>
      <c r="G287" s="82">
        <f>153.4+110.68+111.2+177.82+406.15+40+171.5</f>
        <v>1170.75</v>
      </c>
      <c r="H287" s="79"/>
      <c r="I287" s="79">
        <v>825</v>
      </c>
      <c r="J287" s="79"/>
      <c r="K287" s="79"/>
      <c r="L287" s="79"/>
      <c r="M287" s="79"/>
      <c r="N287" s="79"/>
      <c r="O287" s="79"/>
      <c r="P287" s="79"/>
      <c r="Q287" s="79">
        <f t="shared" si="12"/>
        <v>1995.75</v>
      </c>
      <c r="R287" s="79">
        <f t="shared" si="13"/>
        <v>0</v>
      </c>
      <c r="S287" s="79">
        <f t="shared" si="14"/>
        <v>1995.75</v>
      </c>
    </row>
    <row r="288" spans="1:19" x14ac:dyDescent="0.2">
      <c r="A288" s="102" t="s">
        <v>4594</v>
      </c>
      <c r="B288" s="71" t="s">
        <v>4660</v>
      </c>
      <c r="C288" s="76">
        <v>169</v>
      </c>
      <c r="D288" s="72" t="s">
        <v>4745</v>
      </c>
      <c r="E288" s="73" t="s">
        <v>2068</v>
      </c>
      <c r="F288" s="75">
        <v>42128</v>
      </c>
      <c r="G288" s="82">
        <f>212.97</f>
        <v>212.97</v>
      </c>
      <c r="H288" s="79"/>
      <c r="I288" s="79"/>
      <c r="J288" s="79"/>
      <c r="K288" s="79"/>
      <c r="L288" s="79"/>
      <c r="M288" s="79"/>
      <c r="N288" s="79"/>
      <c r="O288" s="79"/>
      <c r="P288" s="79"/>
      <c r="Q288" s="79">
        <f t="shared" si="12"/>
        <v>212.97</v>
      </c>
      <c r="R288" s="79">
        <f t="shared" si="13"/>
        <v>0</v>
      </c>
      <c r="S288" s="79">
        <f t="shared" si="14"/>
        <v>212.97</v>
      </c>
    </row>
    <row r="289" spans="1:19" x14ac:dyDescent="0.2">
      <c r="A289" s="102" t="s">
        <v>4595</v>
      </c>
      <c r="B289" s="71" t="s">
        <v>4661</v>
      </c>
      <c r="C289" s="76">
        <v>170</v>
      </c>
      <c r="D289" s="72" t="s">
        <v>4746</v>
      </c>
      <c r="E289" s="73" t="s">
        <v>19</v>
      </c>
      <c r="F289" s="75">
        <v>42128</v>
      </c>
      <c r="G289" s="82"/>
      <c r="H289" s="79"/>
      <c r="I289" s="79"/>
      <c r="J289" s="79"/>
      <c r="K289" s="79"/>
      <c r="L289" s="79"/>
      <c r="M289" s="79"/>
      <c r="N289" s="79"/>
      <c r="O289" s="79"/>
      <c r="P289" s="79"/>
      <c r="Q289" s="79">
        <f t="shared" si="12"/>
        <v>0</v>
      </c>
      <c r="R289" s="79">
        <f t="shared" si="13"/>
        <v>0</v>
      </c>
      <c r="S289" s="79">
        <f t="shared" si="14"/>
        <v>0</v>
      </c>
    </row>
    <row r="290" spans="1:19" x14ac:dyDescent="0.2">
      <c r="A290" s="102" t="s">
        <v>4596</v>
      </c>
      <c r="B290" s="71" t="s">
        <v>4662</v>
      </c>
      <c r="C290" s="76">
        <v>171</v>
      </c>
      <c r="D290" s="72" t="s">
        <v>4747</v>
      </c>
      <c r="E290" s="73" t="s">
        <v>19</v>
      </c>
      <c r="F290" s="75">
        <v>42128</v>
      </c>
      <c r="G290" s="82">
        <f>83.19</f>
        <v>83.19</v>
      </c>
      <c r="H290" s="79"/>
      <c r="I290" s="79"/>
      <c r="J290" s="79"/>
      <c r="K290" s="79"/>
      <c r="L290" s="79"/>
      <c r="M290" s="79"/>
      <c r="N290" s="79"/>
      <c r="O290" s="79"/>
      <c r="P290" s="79"/>
      <c r="Q290" s="79">
        <f t="shared" si="12"/>
        <v>83.19</v>
      </c>
      <c r="R290" s="79">
        <f t="shared" si="13"/>
        <v>0</v>
      </c>
      <c r="S290" s="79">
        <f t="shared" si="14"/>
        <v>83.19</v>
      </c>
    </row>
    <row r="291" spans="1:19" x14ac:dyDescent="0.2">
      <c r="A291" s="102" t="s">
        <v>4597</v>
      </c>
      <c r="B291" s="71" t="s">
        <v>4663</v>
      </c>
      <c r="C291" s="76">
        <v>172</v>
      </c>
      <c r="D291" s="72" t="s">
        <v>4748</v>
      </c>
      <c r="E291" s="73" t="s">
        <v>19</v>
      </c>
      <c r="F291" s="75">
        <v>42128</v>
      </c>
      <c r="G291" s="82">
        <f>238+348</f>
        <v>586</v>
      </c>
      <c r="H291" s="79"/>
      <c r="I291" s="79"/>
      <c r="J291" s="79"/>
      <c r="K291" s="79"/>
      <c r="L291" s="79"/>
      <c r="M291" s="79"/>
      <c r="N291" s="79"/>
      <c r="O291" s="79"/>
      <c r="P291" s="79"/>
      <c r="Q291" s="79">
        <f t="shared" si="12"/>
        <v>586</v>
      </c>
      <c r="R291" s="79">
        <f t="shared" si="13"/>
        <v>0</v>
      </c>
      <c r="S291" s="79">
        <f t="shared" si="14"/>
        <v>586</v>
      </c>
    </row>
    <row r="292" spans="1:19" x14ac:dyDescent="0.2">
      <c r="A292" s="102" t="s">
        <v>4598</v>
      </c>
      <c r="B292" s="71" t="s">
        <v>4664</v>
      </c>
      <c r="C292" s="76">
        <v>173</v>
      </c>
      <c r="D292" s="72" t="s">
        <v>4749</v>
      </c>
      <c r="E292" s="73" t="s">
        <v>19</v>
      </c>
      <c r="F292" s="75">
        <v>42128</v>
      </c>
      <c r="G292" s="82">
        <f>160.36</f>
        <v>160.36000000000001</v>
      </c>
      <c r="H292" s="79"/>
      <c r="I292" s="79"/>
      <c r="J292" s="79"/>
      <c r="K292" s="79"/>
      <c r="L292" s="79"/>
      <c r="M292" s="79"/>
      <c r="N292" s="79"/>
      <c r="O292" s="79"/>
      <c r="P292" s="79"/>
      <c r="Q292" s="79">
        <f t="shared" si="12"/>
        <v>160.36000000000001</v>
      </c>
      <c r="R292" s="79">
        <f t="shared" si="13"/>
        <v>0</v>
      </c>
      <c r="S292" s="79">
        <f t="shared" si="14"/>
        <v>160.36000000000001</v>
      </c>
    </row>
    <row r="293" spans="1:19" x14ac:dyDescent="0.2">
      <c r="A293" s="102" t="s">
        <v>4599</v>
      </c>
      <c r="B293" s="71" t="s">
        <v>4665</v>
      </c>
      <c r="C293" s="76">
        <v>174</v>
      </c>
      <c r="D293" s="72" t="s">
        <v>4750</v>
      </c>
      <c r="E293" s="73" t="s">
        <v>19</v>
      </c>
      <c r="F293" s="75">
        <v>42128</v>
      </c>
      <c r="G293" s="82">
        <f>149.39</f>
        <v>149.38999999999999</v>
      </c>
      <c r="H293" s="79"/>
      <c r="I293" s="79"/>
      <c r="J293" s="79"/>
      <c r="K293" s="79"/>
      <c r="L293" s="79"/>
      <c r="M293" s="79"/>
      <c r="N293" s="79"/>
      <c r="O293" s="79"/>
      <c r="P293" s="79"/>
      <c r="Q293" s="79">
        <f t="shared" si="12"/>
        <v>149.38999999999999</v>
      </c>
      <c r="R293" s="79">
        <f t="shared" si="13"/>
        <v>0</v>
      </c>
      <c r="S293" s="79">
        <f t="shared" si="14"/>
        <v>149.38999999999999</v>
      </c>
    </row>
    <row r="294" spans="1:19" x14ac:dyDescent="0.2">
      <c r="A294" s="102" t="s">
        <v>4600</v>
      </c>
      <c r="B294" s="71" t="s">
        <v>4666</v>
      </c>
      <c r="C294" s="76">
        <v>175</v>
      </c>
      <c r="D294" s="72" t="s">
        <v>4751</v>
      </c>
      <c r="E294" s="73" t="s">
        <v>19</v>
      </c>
      <c r="F294" s="75">
        <v>42128</v>
      </c>
      <c r="G294" s="82">
        <f>95.7</f>
        <v>95.7</v>
      </c>
      <c r="H294" s="79"/>
      <c r="I294" s="79"/>
      <c r="J294" s="79"/>
      <c r="K294" s="79"/>
      <c r="L294" s="79"/>
      <c r="M294" s="79"/>
      <c r="N294" s="79"/>
      <c r="O294" s="79"/>
      <c r="P294" s="79"/>
      <c r="Q294" s="79">
        <f t="shared" si="12"/>
        <v>95.7</v>
      </c>
      <c r="R294" s="79">
        <f t="shared" si="13"/>
        <v>0</v>
      </c>
      <c r="S294" s="79">
        <f t="shared" si="14"/>
        <v>95.7</v>
      </c>
    </row>
    <row r="295" spans="1:19" x14ac:dyDescent="0.2">
      <c r="A295" s="102" t="s">
        <v>4601</v>
      </c>
      <c r="B295" s="71" t="s">
        <v>345</v>
      </c>
      <c r="C295" s="76">
        <v>176</v>
      </c>
      <c r="D295" s="72" t="s">
        <v>4752</v>
      </c>
      <c r="E295" s="73" t="s">
        <v>19</v>
      </c>
      <c r="F295" s="75">
        <v>42128</v>
      </c>
      <c r="G295" s="82">
        <f>160.79+124.02</f>
        <v>284.81</v>
      </c>
      <c r="H295" s="79"/>
      <c r="I295" s="79"/>
      <c r="J295" s="79"/>
      <c r="K295" s="79"/>
      <c r="L295" s="79"/>
      <c r="M295" s="79"/>
      <c r="N295" s="79"/>
      <c r="O295" s="79"/>
      <c r="P295" s="79"/>
      <c r="Q295" s="79">
        <f t="shared" si="12"/>
        <v>284.81</v>
      </c>
      <c r="R295" s="79">
        <f t="shared" si="13"/>
        <v>0</v>
      </c>
      <c r="S295" s="79">
        <f t="shared" si="14"/>
        <v>284.81</v>
      </c>
    </row>
    <row r="296" spans="1:19" x14ac:dyDescent="0.2">
      <c r="A296" s="102" t="s">
        <v>4602</v>
      </c>
      <c r="B296" s="71" t="s">
        <v>4667</v>
      </c>
      <c r="C296" s="76">
        <v>177</v>
      </c>
      <c r="D296" s="72" t="s">
        <v>4753</v>
      </c>
      <c r="E296" s="73" t="s">
        <v>19</v>
      </c>
      <c r="F296" s="75">
        <v>42128</v>
      </c>
      <c r="G296" s="82">
        <f>320+382.9</f>
        <v>702.9</v>
      </c>
      <c r="H296" s="79"/>
      <c r="I296" s="79"/>
      <c r="J296" s="79"/>
      <c r="K296" s="79"/>
      <c r="L296" s="79"/>
      <c r="M296" s="79"/>
      <c r="N296" s="79"/>
      <c r="O296" s="79"/>
      <c r="P296" s="79"/>
      <c r="Q296" s="79">
        <f t="shared" si="12"/>
        <v>702.9</v>
      </c>
      <c r="R296" s="79">
        <f t="shared" si="13"/>
        <v>0</v>
      </c>
      <c r="S296" s="79">
        <f t="shared" si="14"/>
        <v>702.9</v>
      </c>
    </row>
    <row r="297" spans="1:19" x14ac:dyDescent="0.2">
      <c r="A297" s="102" t="s">
        <v>4603</v>
      </c>
      <c r="B297" s="71" t="s">
        <v>4668</v>
      </c>
      <c r="C297" s="76">
        <v>178</v>
      </c>
      <c r="D297" s="72" t="s">
        <v>4754</v>
      </c>
      <c r="E297" s="73" t="s">
        <v>19</v>
      </c>
      <c r="F297" s="75">
        <v>42128</v>
      </c>
      <c r="G297" s="82">
        <f>98.4+36.18+529.6+124.02+436.6+64.9+35</f>
        <v>1324.7000000000003</v>
      </c>
      <c r="H297" s="79"/>
      <c r="I297" s="79">
        <v>1150</v>
      </c>
      <c r="J297" s="79"/>
      <c r="K297" s="79"/>
      <c r="L297" s="79"/>
      <c r="M297" s="79"/>
      <c r="N297" s="79"/>
      <c r="O297" s="79"/>
      <c r="P297" s="79"/>
      <c r="Q297" s="79">
        <f t="shared" si="12"/>
        <v>2474.7000000000003</v>
      </c>
      <c r="R297" s="79">
        <f t="shared" si="13"/>
        <v>0</v>
      </c>
      <c r="S297" s="79">
        <f t="shared" si="14"/>
        <v>2474.7000000000003</v>
      </c>
    </row>
    <row r="298" spans="1:19" x14ac:dyDescent="0.2">
      <c r="A298" s="102" t="s">
        <v>4604</v>
      </c>
      <c r="B298" s="71" t="s">
        <v>4669</v>
      </c>
      <c r="C298" s="76">
        <v>179</v>
      </c>
      <c r="D298" s="72" t="s">
        <v>4755</v>
      </c>
      <c r="E298" s="73" t="s">
        <v>19</v>
      </c>
      <c r="F298" s="75">
        <v>42128</v>
      </c>
      <c r="G298" s="82">
        <f>235</f>
        <v>235</v>
      </c>
      <c r="H298" s="79"/>
      <c r="I298" s="79"/>
      <c r="J298" s="79"/>
      <c r="K298" s="79"/>
      <c r="L298" s="79"/>
      <c r="M298" s="79"/>
      <c r="N298" s="79"/>
      <c r="O298" s="79"/>
      <c r="P298" s="79"/>
      <c r="Q298" s="79">
        <f t="shared" si="12"/>
        <v>235</v>
      </c>
      <c r="R298" s="79">
        <f t="shared" si="13"/>
        <v>0</v>
      </c>
      <c r="S298" s="79">
        <f t="shared" si="14"/>
        <v>235</v>
      </c>
    </row>
    <row r="299" spans="1:19" x14ac:dyDescent="0.2">
      <c r="A299" s="102" t="s">
        <v>4604</v>
      </c>
      <c r="B299" s="71" t="s">
        <v>4669</v>
      </c>
      <c r="C299" s="76">
        <v>179</v>
      </c>
      <c r="D299" s="72" t="s">
        <v>4756</v>
      </c>
      <c r="E299" s="73" t="s">
        <v>19</v>
      </c>
      <c r="F299" s="75">
        <v>42128</v>
      </c>
      <c r="G299" s="82">
        <f>519</f>
        <v>519</v>
      </c>
      <c r="H299" s="79"/>
      <c r="I299" s="79"/>
      <c r="J299" s="79"/>
      <c r="K299" s="79"/>
      <c r="L299" s="79"/>
      <c r="M299" s="79"/>
      <c r="N299" s="79"/>
      <c r="O299" s="79"/>
      <c r="P299" s="79"/>
      <c r="Q299" s="79">
        <f t="shared" si="12"/>
        <v>519</v>
      </c>
      <c r="R299" s="79">
        <f t="shared" si="13"/>
        <v>0</v>
      </c>
      <c r="S299" s="79">
        <f t="shared" si="14"/>
        <v>519</v>
      </c>
    </row>
    <row r="300" spans="1:19" x14ac:dyDescent="0.2">
      <c r="A300" s="102" t="s">
        <v>3639</v>
      </c>
      <c r="B300" s="71" t="s">
        <v>3640</v>
      </c>
      <c r="C300" s="76">
        <v>180</v>
      </c>
      <c r="D300" s="72" t="s">
        <v>4757</v>
      </c>
      <c r="E300" s="73" t="s">
        <v>19</v>
      </c>
      <c r="F300" s="75">
        <v>42128</v>
      </c>
      <c r="G300" s="82">
        <f>83</f>
        <v>83</v>
      </c>
      <c r="H300" s="79"/>
      <c r="I300" s="79"/>
      <c r="J300" s="79"/>
      <c r="K300" s="79"/>
      <c r="L300" s="79"/>
      <c r="M300" s="79"/>
      <c r="N300" s="79"/>
      <c r="O300" s="79"/>
      <c r="P300" s="79"/>
      <c r="Q300" s="79">
        <f t="shared" si="12"/>
        <v>83</v>
      </c>
      <c r="R300" s="79">
        <f t="shared" si="13"/>
        <v>0</v>
      </c>
      <c r="S300" s="79">
        <f t="shared" si="14"/>
        <v>83</v>
      </c>
    </row>
    <row r="301" spans="1:19" x14ac:dyDescent="0.2">
      <c r="A301" s="102" t="s">
        <v>4605</v>
      </c>
      <c r="B301" s="71" t="s">
        <v>4670</v>
      </c>
      <c r="C301" s="76">
        <v>181</v>
      </c>
      <c r="D301" s="72" t="s">
        <v>4758</v>
      </c>
      <c r="E301" s="73" t="s">
        <v>19</v>
      </c>
      <c r="F301" s="75">
        <v>42128</v>
      </c>
      <c r="G301" s="82">
        <f>147</f>
        <v>147</v>
      </c>
      <c r="H301" s="79"/>
      <c r="I301" s="79"/>
      <c r="J301" s="79"/>
      <c r="K301" s="79"/>
      <c r="L301" s="79"/>
      <c r="M301" s="79"/>
      <c r="N301" s="79"/>
      <c r="O301" s="79"/>
      <c r="P301" s="79"/>
      <c r="Q301" s="79">
        <f t="shared" si="12"/>
        <v>147</v>
      </c>
      <c r="R301" s="79">
        <f t="shared" si="13"/>
        <v>0</v>
      </c>
      <c r="S301" s="79">
        <f t="shared" si="14"/>
        <v>147</v>
      </c>
    </row>
    <row r="302" spans="1:19" x14ac:dyDescent="0.2">
      <c r="A302" s="102" t="s">
        <v>4606</v>
      </c>
      <c r="B302" s="71" t="s">
        <v>4671</v>
      </c>
      <c r="C302" s="76">
        <v>182</v>
      </c>
      <c r="D302" s="72" t="s">
        <v>4759</v>
      </c>
      <c r="E302" s="73" t="s">
        <v>19</v>
      </c>
      <c r="F302" s="75">
        <v>42128</v>
      </c>
      <c r="G302" s="82">
        <f>182</f>
        <v>182</v>
      </c>
      <c r="H302" s="79"/>
      <c r="I302" s="79"/>
      <c r="J302" s="79"/>
      <c r="K302" s="79"/>
      <c r="L302" s="79"/>
      <c r="M302" s="79"/>
      <c r="N302" s="79"/>
      <c r="O302" s="79"/>
      <c r="P302" s="79"/>
      <c r="Q302" s="79">
        <f t="shared" si="12"/>
        <v>182</v>
      </c>
      <c r="R302" s="79">
        <f t="shared" si="13"/>
        <v>0</v>
      </c>
      <c r="S302" s="79">
        <f t="shared" si="14"/>
        <v>182</v>
      </c>
    </row>
    <row r="303" spans="1:19" x14ac:dyDescent="0.2">
      <c r="A303" s="102" t="s">
        <v>4606</v>
      </c>
      <c r="B303" s="71" t="s">
        <v>4671</v>
      </c>
      <c r="C303" s="76">
        <v>182</v>
      </c>
      <c r="D303" s="72" t="s">
        <v>4760</v>
      </c>
      <c r="E303" s="73" t="s">
        <v>19</v>
      </c>
      <c r="F303" s="75">
        <v>42128</v>
      </c>
      <c r="G303" s="82">
        <f>48.5</f>
        <v>48.5</v>
      </c>
      <c r="H303" s="79"/>
      <c r="I303" s="79"/>
      <c r="J303" s="79"/>
      <c r="K303" s="79"/>
      <c r="L303" s="79"/>
      <c r="M303" s="79"/>
      <c r="N303" s="79"/>
      <c r="O303" s="79"/>
      <c r="P303" s="79"/>
      <c r="Q303" s="79">
        <f t="shared" si="12"/>
        <v>48.5</v>
      </c>
      <c r="R303" s="79">
        <f t="shared" si="13"/>
        <v>0</v>
      </c>
      <c r="S303" s="79">
        <f t="shared" si="14"/>
        <v>48.5</v>
      </c>
    </row>
    <row r="304" spans="1:19" x14ac:dyDescent="0.2">
      <c r="A304" s="102" t="s">
        <v>4606</v>
      </c>
      <c r="B304" s="71" t="s">
        <v>4671</v>
      </c>
      <c r="C304" s="76">
        <v>182</v>
      </c>
      <c r="D304" s="72" t="s">
        <v>4761</v>
      </c>
      <c r="E304" s="73" t="s">
        <v>19</v>
      </c>
      <c r="F304" s="75">
        <v>42128</v>
      </c>
      <c r="G304" s="82">
        <f>137</f>
        <v>137</v>
      </c>
      <c r="H304" s="79"/>
      <c r="I304" s="79"/>
      <c r="J304" s="79"/>
      <c r="K304" s="79"/>
      <c r="L304" s="79"/>
      <c r="M304" s="79"/>
      <c r="N304" s="79"/>
      <c r="O304" s="79"/>
      <c r="P304" s="79"/>
      <c r="Q304" s="79">
        <f t="shared" si="12"/>
        <v>137</v>
      </c>
      <c r="R304" s="79">
        <f t="shared" si="13"/>
        <v>0</v>
      </c>
      <c r="S304" s="79">
        <f t="shared" si="14"/>
        <v>137</v>
      </c>
    </row>
    <row r="305" spans="1:19" x14ac:dyDescent="0.2">
      <c r="A305" s="102" t="s">
        <v>4078</v>
      </c>
      <c r="B305" s="71" t="s">
        <v>4099</v>
      </c>
      <c r="C305" s="76">
        <v>183</v>
      </c>
      <c r="D305" s="72" t="s">
        <v>4762</v>
      </c>
      <c r="E305" s="73" t="s">
        <v>19</v>
      </c>
      <c r="F305" s="75">
        <v>42128</v>
      </c>
      <c r="G305" s="82">
        <f>766.62+47.2+47.2+127.49</f>
        <v>988.5100000000001</v>
      </c>
      <c r="H305" s="79"/>
      <c r="I305" s="79">
        <f>500</f>
        <v>500</v>
      </c>
      <c r="J305" s="79"/>
      <c r="K305" s="79"/>
      <c r="L305" s="79"/>
      <c r="M305" s="79"/>
      <c r="N305" s="79"/>
      <c r="O305" s="79"/>
      <c r="P305" s="79"/>
      <c r="Q305" s="79">
        <f t="shared" si="12"/>
        <v>1488.5100000000002</v>
      </c>
      <c r="R305" s="79">
        <f t="shared" si="13"/>
        <v>0</v>
      </c>
      <c r="S305" s="79">
        <f t="shared" si="14"/>
        <v>1488.5100000000002</v>
      </c>
    </row>
    <row r="306" spans="1:19" x14ac:dyDescent="0.2">
      <c r="A306" s="102" t="s">
        <v>4607</v>
      </c>
      <c r="B306" s="71" t="s">
        <v>4672</v>
      </c>
      <c r="C306" s="76">
        <v>184</v>
      </c>
      <c r="D306" s="72" t="s">
        <v>4763</v>
      </c>
      <c r="E306" s="73" t="s">
        <v>19</v>
      </c>
      <c r="F306" s="75">
        <v>42129</v>
      </c>
      <c r="G306" s="82">
        <f>237.6</f>
        <v>237.6</v>
      </c>
      <c r="H306" s="79"/>
      <c r="I306" s="79"/>
      <c r="J306" s="79"/>
      <c r="K306" s="79"/>
      <c r="L306" s="79"/>
      <c r="M306" s="79"/>
      <c r="N306" s="79"/>
      <c r="O306" s="79"/>
      <c r="P306" s="79"/>
      <c r="Q306" s="79">
        <f t="shared" si="12"/>
        <v>237.6</v>
      </c>
      <c r="R306" s="79">
        <f t="shared" si="13"/>
        <v>0</v>
      </c>
      <c r="S306" s="79">
        <f t="shared" si="14"/>
        <v>237.6</v>
      </c>
    </row>
    <row r="307" spans="1:19" x14ac:dyDescent="0.2">
      <c r="A307" s="102" t="s">
        <v>4608</v>
      </c>
      <c r="B307" s="71" t="s">
        <v>4673</v>
      </c>
      <c r="C307" s="76">
        <v>185</v>
      </c>
      <c r="D307" s="72" t="s">
        <v>4764</v>
      </c>
      <c r="E307" s="73" t="s">
        <v>19</v>
      </c>
      <c r="F307" s="75">
        <v>42130</v>
      </c>
      <c r="G307" s="82">
        <f>113</f>
        <v>113</v>
      </c>
      <c r="H307" s="79"/>
      <c r="I307" s="79"/>
      <c r="J307" s="79"/>
      <c r="K307" s="79"/>
      <c r="L307" s="79"/>
      <c r="M307" s="79"/>
      <c r="N307" s="79"/>
      <c r="O307" s="79"/>
      <c r="P307" s="79"/>
      <c r="Q307" s="79">
        <f t="shared" si="12"/>
        <v>113</v>
      </c>
      <c r="R307" s="79">
        <f t="shared" si="13"/>
        <v>0</v>
      </c>
      <c r="S307" s="79">
        <f t="shared" si="14"/>
        <v>113</v>
      </c>
    </row>
    <row r="308" spans="1:19" x14ac:dyDescent="0.2">
      <c r="A308" s="102" t="s">
        <v>4609</v>
      </c>
      <c r="B308" s="71" t="s">
        <v>1164</v>
      </c>
      <c r="C308" s="76">
        <v>186</v>
      </c>
      <c r="D308" s="72" t="s">
        <v>4765</v>
      </c>
      <c r="E308" s="73" t="s">
        <v>19</v>
      </c>
      <c r="F308" s="75">
        <v>42130</v>
      </c>
      <c r="G308" s="82">
        <f>668.3+41.3+210.91+144.51+147.78+41.3+41.3+236.6+141.08+195.6+220</f>
        <v>2088.6799999999994</v>
      </c>
      <c r="H308" s="79"/>
      <c r="I308" s="79">
        <v>2875</v>
      </c>
      <c r="J308" s="79"/>
      <c r="K308" s="79"/>
      <c r="L308" s="79"/>
      <c r="M308" s="79"/>
      <c r="N308" s="79"/>
      <c r="O308" s="79"/>
      <c r="P308" s="79"/>
      <c r="Q308" s="79">
        <f t="shared" si="12"/>
        <v>4963.6799999999994</v>
      </c>
      <c r="R308" s="79">
        <f t="shared" si="13"/>
        <v>0</v>
      </c>
      <c r="S308" s="79">
        <f t="shared" si="14"/>
        <v>4963.6799999999994</v>
      </c>
    </row>
    <row r="309" spans="1:19" x14ac:dyDescent="0.2">
      <c r="A309" s="102" t="s">
        <v>4609</v>
      </c>
      <c r="B309" s="71" t="s">
        <v>1164</v>
      </c>
      <c r="C309" s="76">
        <v>186</v>
      </c>
      <c r="D309" s="72" t="s">
        <v>4766</v>
      </c>
      <c r="E309" s="73" t="s">
        <v>19</v>
      </c>
      <c r="F309" s="75">
        <v>42130</v>
      </c>
      <c r="G309" s="82">
        <f>172.3</f>
        <v>172.3</v>
      </c>
      <c r="H309" s="79"/>
      <c r="I309" s="79"/>
      <c r="J309" s="79"/>
      <c r="K309" s="79"/>
      <c r="L309" s="79"/>
      <c r="M309" s="79"/>
      <c r="N309" s="79"/>
      <c r="O309" s="79"/>
      <c r="P309" s="79"/>
      <c r="Q309" s="79">
        <f t="shared" si="12"/>
        <v>172.3</v>
      </c>
      <c r="R309" s="79">
        <f t="shared" si="13"/>
        <v>0</v>
      </c>
      <c r="S309" s="79">
        <f t="shared" si="14"/>
        <v>172.3</v>
      </c>
    </row>
    <row r="310" spans="1:19" x14ac:dyDescent="0.2">
      <c r="A310" s="102" t="s">
        <v>4610</v>
      </c>
      <c r="B310" s="71" t="s">
        <v>4674</v>
      </c>
      <c r="C310" s="76">
        <v>187</v>
      </c>
      <c r="D310" s="72" t="s">
        <v>4767</v>
      </c>
      <c r="E310" s="73" t="s">
        <v>19</v>
      </c>
      <c r="F310" s="75">
        <v>42130</v>
      </c>
      <c r="G310" s="82">
        <f>240+2065.22</f>
        <v>2305.2199999999998</v>
      </c>
      <c r="H310" s="79"/>
      <c r="I310" s="79">
        <f>875</f>
        <v>875</v>
      </c>
      <c r="J310" s="79"/>
      <c r="K310" s="79"/>
      <c r="L310" s="79"/>
      <c r="M310" s="79"/>
      <c r="N310" s="79"/>
      <c r="O310" s="79"/>
      <c r="P310" s="79"/>
      <c r="Q310" s="79">
        <f t="shared" si="12"/>
        <v>3180.22</v>
      </c>
      <c r="R310" s="79">
        <f t="shared" si="13"/>
        <v>0</v>
      </c>
      <c r="S310" s="79">
        <f t="shared" si="14"/>
        <v>3180.22</v>
      </c>
    </row>
    <row r="311" spans="1:19" x14ac:dyDescent="0.2">
      <c r="A311" s="102" t="s">
        <v>4611</v>
      </c>
      <c r="B311" s="71" t="s">
        <v>4675</v>
      </c>
      <c r="C311" s="76">
        <v>188</v>
      </c>
      <c r="D311" s="72" t="s">
        <v>4768</v>
      </c>
      <c r="E311" s="73" t="s">
        <v>19</v>
      </c>
      <c r="F311" s="75">
        <v>42128</v>
      </c>
      <c r="G311" s="82">
        <f>132.88</f>
        <v>132.88</v>
      </c>
      <c r="H311" s="79"/>
      <c r="I311" s="79"/>
      <c r="J311" s="79"/>
      <c r="K311" s="79"/>
      <c r="L311" s="79"/>
      <c r="M311" s="79"/>
      <c r="N311" s="79"/>
      <c r="O311" s="79"/>
      <c r="P311" s="79"/>
      <c r="Q311" s="79">
        <f t="shared" si="12"/>
        <v>132.88</v>
      </c>
      <c r="R311" s="79">
        <f t="shared" si="13"/>
        <v>0</v>
      </c>
      <c r="S311" s="79">
        <f t="shared" si="14"/>
        <v>132.88</v>
      </c>
    </row>
    <row r="312" spans="1:19" x14ac:dyDescent="0.2">
      <c r="A312" s="102" t="s">
        <v>4611</v>
      </c>
      <c r="B312" s="71" t="s">
        <v>4675</v>
      </c>
      <c r="C312" s="76">
        <v>188</v>
      </c>
      <c r="D312" s="72" t="s">
        <v>4769</v>
      </c>
      <c r="E312" s="73" t="s">
        <v>19</v>
      </c>
      <c r="F312" s="75">
        <v>42128</v>
      </c>
      <c r="G312" s="82">
        <f>76.23</f>
        <v>76.23</v>
      </c>
      <c r="H312" s="79"/>
      <c r="I312" s="79"/>
      <c r="J312" s="79"/>
      <c r="K312" s="79"/>
      <c r="L312" s="79"/>
      <c r="M312" s="79"/>
      <c r="N312" s="79"/>
      <c r="O312" s="79"/>
      <c r="P312" s="79"/>
      <c r="Q312" s="79">
        <f t="shared" si="12"/>
        <v>76.23</v>
      </c>
      <c r="R312" s="79">
        <f t="shared" si="13"/>
        <v>0</v>
      </c>
      <c r="S312" s="79">
        <f t="shared" si="14"/>
        <v>76.23</v>
      </c>
    </row>
    <row r="313" spans="1:19" x14ac:dyDescent="0.2">
      <c r="A313" s="102" t="s">
        <v>4612</v>
      </c>
      <c r="B313" s="71" t="s">
        <v>4676</v>
      </c>
      <c r="C313" s="76">
        <v>189</v>
      </c>
      <c r="D313" s="72" t="s">
        <v>5398</v>
      </c>
      <c r="E313" s="73" t="s">
        <v>19</v>
      </c>
      <c r="F313" s="75">
        <v>42135</v>
      </c>
      <c r="G313" s="82">
        <f>142+116.55+205.47+144.03+41.3+41.3+136.5+125.36+290+41.3+41.3+41.3+182.19+558</f>
        <v>2106.5999999999995</v>
      </c>
      <c r="H313" s="79"/>
      <c r="I313" s="79">
        <f>260</f>
        <v>260</v>
      </c>
      <c r="J313" s="79"/>
      <c r="K313" s="79"/>
      <c r="L313" s="79"/>
      <c r="M313" s="79"/>
      <c r="N313" s="79"/>
      <c r="O313" s="79"/>
      <c r="P313" s="79"/>
      <c r="Q313" s="79">
        <f t="shared" si="12"/>
        <v>2366.5999999999995</v>
      </c>
      <c r="R313" s="79">
        <f t="shared" si="13"/>
        <v>0</v>
      </c>
      <c r="S313" s="79">
        <f t="shared" si="14"/>
        <v>2366.5999999999995</v>
      </c>
    </row>
    <row r="314" spans="1:19" x14ac:dyDescent="0.2">
      <c r="A314" s="102" t="s">
        <v>4612</v>
      </c>
      <c r="B314" s="71" t="s">
        <v>4676</v>
      </c>
      <c r="C314" s="76">
        <v>189</v>
      </c>
      <c r="D314" s="72" t="s">
        <v>4770</v>
      </c>
      <c r="E314" s="73" t="s">
        <v>19</v>
      </c>
      <c r="F314" s="75">
        <v>42135</v>
      </c>
      <c r="G314" s="82">
        <f>40.8</f>
        <v>40.799999999999997</v>
      </c>
      <c r="H314" s="79"/>
      <c r="I314" s="79"/>
      <c r="J314" s="79"/>
      <c r="K314" s="79"/>
      <c r="L314" s="79"/>
      <c r="M314" s="79"/>
      <c r="N314" s="79"/>
      <c r="O314" s="79"/>
      <c r="P314" s="79"/>
      <c r="Q314" s="79">
        <f t="shared" si="12"/>
        <v>40.799999999999997</v>
      </c>
      <c r="R314" s="79">
        <f t="shared" si="13"/>
        <v>0</v>
      </c>
      <c r="S314" s="79">
        <f t="shared" si="14"/>
        <v>40.799999999999997</v>
      </c>
    </row>
    <row r="315" spans="1:19" x14ac:dyDescent="0.2">
      <c r="A315" s="102" t="s">
        <v>4612</v>
      </c>
      <c r="B315" s="71" t="s">
        <v>4676</v>
      </c>
      <c r="C315" s="76">
        <v>189</v>
      </c>
      <c r="D315" s="72" t="s">
        <v>4771</v>
      </c>
      <c r="E315" s="73" t="s">
        <v>19</v>
      </c>
      <c r="F315" s="75">
        <v>42135</v>
      </c>
      <c r="G315" s="82">
        <f>147.6</f>
        <v>147.6</v>
      </c>
      <c r="H315" s="79"/>
      <c r="I315" s="79"/>
      <c r="J315" s="79"/>
      <c r="K315" s="79"/>
      <c r="L315" s="79"/>
      <c r="M315" s="79"/>
      <c r="N315" s="79"/>
      <c r="O315" s="79"/>
      <c r="P315" s="79"/>
      <c r="Q315" s="79">
        <f t="shared" si="12"/>
        <v>147.6</v>
      </c>
      <c r="R315" s="79">
        <f t="shared" si="13"/>
        <v>0</v>
      </c>
      <c r="S315" s="79">
        <f t="shared" si="14"/>
        <v>147.6</v>
      </c>
    </row>
    <row r="316" spans="1:19" x14ac:dyDescent="0.2">
      <c r="A316" s="102" t="s">
        <v>4612</v>
      </c>
      <c r="B316" s="71" t="s">
        <v>4676</v>
      </c>
      <c r="C316" s="76">
        <v>189</v>
      </c>
      <c r="D316" s="72" t="s">
        <v>4772</v>
      </c>
      <c r="E316" s="73" t="s">
        <v>19</v>
      </c>
      <c r="F316" s="75">
        <v>42135</v>
      </c>
      <c r="G316" s="82">
        <f>48</f>
        <v>48</v>
      </c>
      <c r="H316" s="79"/>
      <c r="I316" s="79"/>
      <c r="J316" s="79"/>
      <c r="K316" s="79"/>
      <c r="L316" s="79"/>
      <c r="M316" s="79"/>
      <c r="N316" s="79"/>
      <c r="O316" s="79"/>
      <c r="P316" s="79"/>
      <c r="Q316" s="79">
        <f t="shared" si="12"/>
        <v>48</v>
      </c>
      <c r="R316" s="79">
        <f t="shared" si="13"/>
        <v>0</v>
      </c>
      <c r="S316" s="79">
        <f t="shared" si="14"/>
        <v>48</v>
      </c>
    </row>
    <row r="317" spans="1:19" x14ac:dyDescent="0.2">
      <c r="A317" s="102" t="s">
        <v>4613</v>
      </c>
      <c r="B317" s="71" t="s">
        <v>4677</v>
      </c>
      <c r="C317" s="76">
        <v>190</v>
      </c>
      <c r="D317" s="72" t="s">
        <v>4773</v>
      </c>
      <c r="E317" s="73" t="s">
        <v>19</v>
      </c>
      <c r="F317" s="75">
        <v>42135</v>
      </c>
      <c r="G317" s="82"/>
      <c r="H317" s="79"/>
      <c r="I317" s="79"/>
      <c r="J317" s="79"/>
      <c r="K317" s="79"/>
      <c r="L317" s="79"/>
      <c r="M317" s="79"/>
      <c r="N317" s="79"/>
      <c r="O317" s="79"/>
      <c r="P317" s="79"/>
      <c r="Q317" s="79">
        <f t="shared" si="12"/>
        <v>0</v>
      </c>
      <c r="R317" s="79">
        <f t="shared" si="13"/>
        <v>0</v>
      </c>
      <c r="S317" s="79">
        <f t="shared" si="14"/>
        <v>0</v>
      </c>
    </row>
    <row r="318" spans="1:19" x14ac:dyDescent="0.2">
      <c r="A318" s="102" t="s">
        <v>4613</v>
      </c>
      <c r="B318" s="71" t="s">
        <v>4677</v>
      </c>
      <c r="C318" s="76">
        <v>190</v>
      </c>
      <c r="D318" s="72" t="s">
        <v>4945</v>
      </c>
      <c r="E318" s="73" t="s">
        <v>19</v>
      </c>
      <c r="F318" s="75">
        <v>42135</v>
      </c>
      <c r="G318" s="82">
        <f>115</f>
        <v>115</v>
      </c>
      <c r="H318" s="79"/>
      <c r="I318" s="79"/>
      <c r="J318" s="79"/>
      <c r="K318" s="79"/>
      <c r="L318" s="79"/>
      <c r="M318" s="79"/>
      <c r="N318" s="79"/>
      <c r="O318" s="79"/>
      <c r="P318" s="79"/>
      <c r="Q318" s="79">
        <f t="shared" si="12"/>
        <v>115</v>
      </c>
      <c r="R318" s="79">
        <f t="shared" si="13"/>
        <v>0</v>
      </c>
      <c r="S318" s="79">
        <f t="shared" si="14"/>
        <v>115</v>
      </c>
    </row>
    <row r="319" spans="1:19" x14ac:dyDescent="0.2">
      <c r="A319" s="102" t="s">
        <v>4614</v>
      </c>
      <c r="B319" s="71" t="s">
        <v>4678</v>
      </c>
      <c r="C319" s="76">
        <v>191</v>
      </c>
      <c r="D319" s="72" t="s">
        <v>5400</v>
      </c>
      <c r="E319" s="73" t="s">
        <v>19</v>
      </c>
      <c r="F319" s="75">
        <v>42135</v>
      </c>
      <c r="G319" s="82">
        <f>238+260+8915.9+105.9</f>
        <v>9519.7999999999993</v>
      </c>
      <c r="H319" s="79"/>
      <c r="I319" s="79">
        <f>475+500</f>
        <v>975</v>
      </c>
      <c r="J319" s="79"/>
      <c r="K319" s="79"/>
      <c r="L319" s="79"/>
      <c r="M319" s="79"/>
      <c r="N319" s="79"/>
      <c r="O319" s="79"/>
      <c r="P319" s="79"/>
      <c r="Q319" s="79">
        <f t="shared" si="12"/>
        <v>10494.8</v>
      </c>
      <c r="R319" s="79">
        <f t="shared" si="13"/>
        <v>0</v>
      </c>
      <c r="S319" s="79">
        <f t="shared" si="14"/>
        <v>10494.8</v>
      </c>
    </row>
    <row r="320" spans="1:19" x14ac:dyDescent="0.2">
      <c r="A320" s="102" t="s">
        <v>4615</v>
      </c>
      <c r="B320" s="71" t="s">
        <v>4679</v>
      </c>
      <c r="C320" s="76">
        <v>192</v>
      </c>
      <c r="D320" s="72" t="s">
        <v>4774</v>
      </c>
      <c r="E320" s="73" t="s">
        <v>19</v>
      </c>
      <c r="F320" s="75">
        <v>42135</v>
      </c>
      <c r="G320" s="82">
        <f>320+296</f>
        <v>616</v>
      </c>
      <c r="H320" s="79"/>
      <c r="I320" s="79"/>
      <c r="J320" s="79"/>
      <c r="K320" s="79"/>
      <c r="L320" s="79"/>
      <c r="M320" s="79"/>
      <c r="N320" s="79"/>
      <c r="O320" s="79"/>
      <c r="P320" s="79"/>
      <c r="Q320" s="79">
        <f t="shared" si="12"/>
        <v>616</v>
      </c>
      <c r="R320" s="79">
        <f t="shared" si="13"/>
        <v>0</v>
      </c>
      <c r="S320" s="79">
        <f t="shared" si="14"/>
        <v>616</v>
      </c>
    </row>
    <row r="321" spans="1:19" x14ac:dyDescent="0.2">
      <c r="A321" s="102" t="s">
        <v>4616</v>
      </c>
      <c r="B321" s="71" t="s">
        <v>4680</v>
      </c>
      <c r="C321" s="76">
        <v>193</v>
      </c>
      <c r="D321" s="72" t="s">
        <v>4775</v>
      </c>
      <c r="E321" s="73" t="s">
        <v>19</v>
      </c>
      <c r="F321" s="75">
        <v>42135</v>
      </c>
      <c r="G321" s="82">
        <f>48</f>
        <v>48</v>
      </c>
      <c r="H321" s="79"/>
      <c r="I321" s="79"/>
      <c r="J321" s="79"/>
      <c r="K321" s="79"/>
      <c r="L321" s="79"/>
      <c r="M321" s="79"/>
      <c r="N321" s="79"/>
      <c r="O321" s="79"/>
      <c r="P321" s="79"/>
      <c r="Q321" s="79">
        <f t="shared" si="12"/>
        <v>48</v>
      </c>
      <c r="R321" s="79">
        <f t="shared" si="13"/>
        <v>0</v>
      </c>
      <c r="S321" s="79">
        <f t="shared" si="14"/>
        <v>48</v>
      </c>
    </row>
    <row r="322" spans="1:19" x14ac:dyDescent="0.2">
      <c r="A322" s="102" t="s">
        <v>4617</v>
      </c>
      <c r="B322" s="71" t="s">
        <v>4681</v>
      </c>
      <c r="C322" s="76">
        <v>194</v>
      </c>
      <c r="D322" s="72" t="s">
        <v>4776</v>
      </c>
      <c r="E322" s="73" t="s">
        <v>19</v>
      </c>
      <c r="F322" s="75">
        <v>42137</v>
      </c>
      <c r="G322" s="82">
        <f>40</f>
        <v>40</v>
      </c>
      <c r="H322" s="79"/>
      <c r="I322" s="79"/>
      <c r="J322" s="79"/>
      <c r="K322" s="79"/>
      <c r="L322" s="79"/>
      <c r="M322" s="79"/>
      <c r="N322" s="79"/>
      <c r="O322" s="79"/>
      <c r="P322" s="79"/>
      <c r="Q322" s="79">
        <f t="shared" si="12"/>
        <v>40</v>
      </c>
      <c r="R322" s="79">
        <f t="shared" si="13"/>
        <v>0</v>
      </c>
      <c r="S322" s="79">
        <f t="shared" si="14"/>
        <v>40</v>
      </c>
    </row>
    <row r="323" spans="1:19" x14ac:dyDescent="0.2">
      <c r="A323" s="102" t="s">
        <v>4617</v>
      </c>
      <c r="B323" s="71" t="s">
        <v>4681</v>
      </c>
      <c r="C323" s="76">
        <v>194</v>
      </c>
      <c r="D323" s="72" t="s">
        <v>4777</v>
      </c>
      <c r="E323" s="73" t="s">
        <v>19</v>
      </c>
      <c r="F323" s="75">
        <v>42137</v>
      </c>
      <c r="G323" s="82">
        <f>173+238+259</f>
        <v>670</v>
      </c>
      <c r="H323" s="79"/>
      <c r="I323" s="79"/>
      <c r="J323" s="79"/>
      <c r="K323" s="79"/>
      <c r="L323" s="79"/>
      <c r="M323" s="79"/>
      <c r="N323" s="79"/>
      <c r="O323" s="79"/>
      <c r="P323" s="79"/>
      <c r="Q323" s="79">
        <f t="shared" si="12"/>
        <v>670</v>
      </c>
      <c r="R323" s="79">
        <f t="shared" si="13"/>
        <v>0</v>
      </c>
      <c r="S323" s="79">
        <f t="shared" si="14"/>
        <v>670</v>
      </c>
    </row>
    <row r="324" spans="1:19" x14ac:dyDescent="0.2">
      <c r="A324" s="102" t="s">
        <v>4618</v>
      </c>
      <c r="B324" s="71" t="s">
        <v>4682</v>
      </c>
      <c r="C324" s="76">
        <v>195</v>
      </c>
      <c r="D324" s="72" t="s">
        <v>4778</v>
      </c>
      <c r="E324" s="73" t="s">
        <v>19</v>
      </c>
      <c r="F324" s="75">
        <v>42137</v>
      </c>
      <c r="G324" s="82">
        <f>236+70</f>
        <v>306</v>
      </c>
      <c r="H324" s="79"/>
      <c r="I324" s="79"/>
      <c r="J324" s="79"/>
      <c r="K324" s="79"/>
      <c r="L324" s="79"/>
      <c r="M324" s="79"/>
      <c r="N324" s="79"/>
      <c r="O324" s="79"/>
      <c r="P324" s="79"/>
      <c r="Q324" s="79">
        <f t="shared" si="12"/>
        <v>306</v>
      </c>
      <c r="R324" s="79">
        <f t="shared" si="13"/>
        <v>0</v>
      </c>
      <c r="S324" s="79">
        <f t="shared" si="14"/>
        <v>306</v>
      </c>
    </row>
    <row r="325" spans="1:19" x14ac:dyDescent="0.2">
      <c r="A325" s="102" t="s">
        <v>4618</v>
      </c>
      <c r="B325" s="71" t="s">
        <v>4682</v>
      </c>
      <c r="C325" s="76">
        <v>195</v>
      </c>
      <c r="D325" s="72" t="s">
        <v>4779</v>
      </c>
      <c r="E325" s="73" t="s">
        <v>19</v>
      </c>
      <c r="F325" s="75">
        <v>42137</v>
      </c>
      <c r="G325" s="82">
        <f>260+888.7</f>
        <v>1148.7</v>
      </c>
      <c r="H325" s="79"/>
      <c r="I325" s="79"/>
      <c r="J325" s="79"/>
      <c r="K325" s="79"/>
      <c r="L325" s="79"/>
      <c r="M325" s="79"/>
      <c r="N325" s="79"/>
      <c r="O325" s="79"/>
      <c r="P325" s="79"/>
      <c r="Q325" s="79">
        <f t="shared" si="12"/>
        <v>1148.7</v>
      </c>
      <c r="R325" s="79">
        <f t="shared" si="13"/>
        <v>0</v>
      </c>
      <c r="S325" s="79">
        <f t="shared" si="14"/>
        <v>1148.7</v>
      </c>
    </row>
    <row r="326" spans="1:19" x14ac:dyDescent="0.2">
      <c r="A326" s="102" t="s">
        <v>4619</v>
      </c>
      <c r="B326" s="71" t="s">
        <v>4683</v>
      </c>
      <c r="C326" s="76">
        <v>196</v>
      </c>
      <c r="D326" s="72" t="s">
        <v>4780</v>
      </c>
      <c r="E326" s="73" t="s">
        <v>19</v>
      </c>
      <c r="F326" s="75">
        <v>42137</v>
      </c>
      <c r="G326" s="82">
        <f>167.1</f>
        <v>167.1</v>
      </c>
      <c r="H326" s="79"/>
      <c r="I326" s="79"/>
      <c r="J326" s="79"/>
      <c r="K326" s="79"/>
      <c r="L326" s="79"/>
      <c r="M326" s="79"/>
      <c r="N326" s="79"/>
      <c r="O326" s="79"/>
      <c r="P326" s="79"/>
      <c r="Q326" s="79">
        <f t="shared" si="12"/>
        <v>167.1</v>
      </c>
      <c r="R326" s="79">
        <f t="shared" si="13"/>
        <v>0</v>
      </c>
      <c r="S326" s="79">
        <f t="shared" si="14"/>
        <v>167.1</v>
      </c>
    </row>
    <row r="327" spans="1:19" x14ac:dyDescent="0.2">
      <c r="A327" s="102" t="s">
        <v>4620</v>
      </c>
      <c r="B327" s="71" t="s">
        <v>4684</v>
      </c>
      <c r="C327" s="76">
        <v>197</v>
      </c>
      <c r="D327" s="72" t="s">
        <v>4781</v>
      </c>
      <c r="E327" s="73" t="s">
        <v>19</v>
      </c>
      <c r="F327" s="75">
        <v>42137</v>
      </c>
      <c r="G327" s="82">
        <f>523+10+118+35</f>
        <v>686</v>
      </c>
      <c r="H327" s="79"/>
      <c r="I327" s="79"/>
      <c r="J327" s="79"/>
      <c r="K327" s="79"/>
      <c r="L327" s="79"/>
      <c r="M327" s="79"/>
      <c r="N327" s="79"/>
      <c r="O327" s="79"/>
      <c r="P327" s="79"/>
      <c r="Q327" s="79">
        <f t="shared" si="12"/>
        <v>686</v>
      </c>
      <c r="R327" s="79">
        <f t="shared" si="13"/>
        <v>0</v>
      </c>
      <c r="S327" s="79">
        <f t="shared" si="14"/>
        <v>686</v>
      </c>
    </row>
    <row r="328" spans="1:19" x14ac:dyDescent="0.2">
      <c r="A328" s="102" t="s">
        <v>4621</v>
      </c>
      <c r="B328" s="71" t="s">
        <v>4685</v>
      </c>
      <c r="C328" s="76">
        <v>198</v>
      </c>
      <c r="D328" s="72" t="s">
        <v>4782</v>
      </c>
      <c r="E328" s="73" t="s">
        <v>19</v>
      </c>
      <c r="F328" s="75">
        <v>42138</v>
      </c>
      <c r="G328" s="82">
        <f>82.6</f>
        <v>82.6</v>
      </c>
      <c r="H328" s="79"/>
      <c r="I328" s="79"/>
      <c r="J328" s="79"/>
      <c r="K328" s="79"/>
      <c r="L328" s="79"/>
      <c r="M328" s="79"/>
      <c r="N328" s="79"/>
      <c r="O328" s="79"/>
      <c r="P328" s="79"/>
      <c r="Q328" s="79">
        <f t="shared" ref="Q328:Q391" si="15">+G328+I328+K328+M328+O328</f>
        <v>82.6</v>
      </c>
      <c r="R328" s="79">
        <f t="shared" ref="R328:R391" si="16">+H328+J328+L328+N328+P328</f>
        <v>0</v>
      </c>
      <c r="S328" s="79">
        <f t="shared" ref="S328:S391" si="17">+Q328+R328</f>
        <v>82.6</v>
      </c>
    </row>
    <row r="329" spans="1:19" x14ac:dyDescent="0.2">
      <c r="A329" s="102" t="s">
        <v>4785</v>
      </c>
      <c r="B329" s="71" t="s">
        <v>4830</v>
      </c>
      <c r="C329" s="76">
        <v>199</v>
      </c>
      <c r="D329" s="73" t="s">
        <v>4874</v>
      </c>
      <c r="E329" s="73" t="s">
        <v>19</v>
      </c>
      <c r="F329" s="75">
        <v>42138</v>
      </c>
      <c r="G329" s="82">
        <f>113</f>
        <v>113</v>
      </c>
      <c r="H329" s="79"/>
      <c r="I329" s="79"/>
      <c r="J329" s="79"/>
      <c r="K329" s="79"/>
      <c r="L329" s="79"/>
      <c r="M329" s="79"/>
      <c r="N329" s="79"/>
      <c r="O329" s="79"/>
      <c r="P329" s="79"/>
      <c r="Q329" s="79">
        <f t="shared" si="15"/>
        <v>113</v>
      </c>
      <c r="R329" s="79">
        <f t="shared" si="16"/>
        <v>0</v>
      </c>
      <c r="S329" s="79">
        <f t="shared" si="17"/>
        <v>113</v>
      </c>
    </row>
    <row r="330" spans="1:19" x14ac:dyDescent="0.2">
      <c r="A330" s="102" t="s">
        <v>4786</v>
      </c>
      <c r="B330" s="71" t="s">
        <v>4831</v>
      </c>
      <c r="C330" s="76">
        <v>200</v>
      </c>
      <c r="D330" s="72" t="s">
        <v>4875</v>
      </c>
      <c r="E330" s="73" t="s">
        <v>19</v>
      </c>
      <c r="F330" s="75">
        <v>42142</v>
      </c>
      <c r="G330" s="82">
        <f>154</f>
        <v>154</v>
      </c>
      <c r="H330" s="79"/>
      <c r="I330" s="79"/>
      <c r="J330" s="79"/>
      <c r="K330" s="79"/>
      <c r="L330" s="79"/>
      <c r="M330" s="79"/>
      <c r="N330" s="79"/>
      <c r="O330" s="79"/>
      <c r="P330" s="79"/>
      <c r="Q330" s="79">
        <f t="shared" si="15"/>
        <v>154</v>
      </c>
      <c r="R330" s="79">
        <f t="shared" si="16"/>
        <v>0</v>
      </c>
      <c r="S330" s="79">
        <f t="shared" si="17"/>
        <v>154</v>
      </c>
    </row>
    <row r="331" spans="1:19" x14ac:dyDescent="0.2">
      <c r="A331" s="102" t="s">
        <v>4787</v>
      </c>
      <c r="B331" s="71" t="s">
        <v>4832</v>
      </c>
      <c r="C331" s="76">
        <v>201</v>
      </c>
      <c r="D331" s="73" t="s">
        <v>4876</v>
      </c>
      <c r="E331" s="73" t="s">
        <v>19</v>
      </c>
      <c r="F331" s="75">
        <v>42143</v>
      </c>
      <c r="G331" s="82">
        <f>332.89</f>
        <v>332.89</v>
      </c>
      <c r="H331" s="79"/>
      <c r="I331" s="79"/>
      <c r="J331" s="79"/>
      <c r="K331" s="79"/>
      <c r="L331" s="79"/>
      <c r="M331" s="79"/>
      <c r="N331" s="79"/>
      <c r="O331" s="79"/>
      <c r="P331" s="79"/>
      <c r="Q331" s="79">
        <f t="shared" si="15"/>
        <v>332.89</v>
      </c>
      <c r="R331" s="79">
        <f t="shared" si="16"/>
        <v>0</v>
      </c>
      <c r="S331" s="79">
        <f t="shared" si="17"/>
        <v>332.89</v>
      </c>
    </row>
    <row r="332" spans="1:19" x14ac:dyDescent="0.2">
      <c r="A332" s="102" t="s">
        <v>4788</v>
      </c>
      <c r="B332" s="71" t="s">
        <v>4833</v>
      </c>
      <c r="C332" s="76">
        <v>202</v>
      </c>
      <c r="D332" s="72" t="s">
        <v>4877</v>
      </c>
      <c r="E332" s="73" t="s">
        <v>19</v>
      </c>
      <c r="F332" s="75">
        <v>42143</v>
      </c>
      <c r="G332" s="82">
        <f>238+171.4</f>
        <v>409.4</v>
      </c>
      <c r="H332" s="79"/>
      <c r="I332" s="79"/>
      <c r="J332" s="79"/>
      <c r="K332" s="79"/>
      <c r="L332" s="79"/>
      <c r="M332" s="79"/>
      <c r="N332" s="79"/>
      <c r="O332" s="79"/>
      <c r="P332" s="79"/>
      <c r="Q332" s="79">
        <f t="shared" si="15"/>
        <v>409.4</v>
      </c>
      <c r="R332" s="79">
        <f t="shared" si="16"/>
        <v>0</v>
      </c>
      <c r="S332" s="79">
        <f t="shared" si="17"/>
        <v>409.4</v>
      </c>
    </row>
    <row r="333" spans="1:19" x14ac:dyDescent="0.2">
      <c r="A333" s="102" t="s">
        <v>4789</v>
      </c>
      <c r="B333" s="71" t="s">
        <v>4834</v>
      </c>
      <c r="C333" s="76">
        <v>203</v>
      </c>
      <c r="D333" s="72" t="s">
        <v>4878</v>
      </c>
      <c r="E333" s="73" t="s">
        <v>19</v>
      </c>
      <c r="F333" s="75">
        <v>42144</v>
      </c>
      <c r="G333" s="82">
        <f>145.03+330.3+119.97+86.94+110.36+118.66+481.3+35</f>
        <v>1427.56</v>
      </c>
      <c r="H333" s="79"/>
      <c r="I333" s="79">
        <f>1675+750</f>
        <v>2425</v>
      </c>
      <c r="J333" s="79"/>
      <c r="K333" s="79"/>
      <c r="L333" s="79"/>
      <c r="M333" s="79"/>
      <c r="N333" s="79"/>
      <c r="O333" s="79"/>
      <c r="P333" s="79"/>
      <c r="Q333" s="79">
        <f t="shared" si="15"/>
        <v>3852.56</v>
      </c>
      <c r="R333" s="79">
        <f t="shared" si="16"/>
        <v>0</v>
      </c>
      <c r="S333" s="79">
        <f t="shared" si="17"/>
        <v>3852.56</v>
      </c>
    </row>
    <row r="334" spans="1:19" x14ac:dyDescent="0.2">
      <c r="A334" s="102" t="s">
        <v>4790</v>
      </c>
      <c r="B334" s="71" t="s">
        <v>4835</v>
      </c>
      <c r="C334" s="76">
        <v>204</v>
      </c>
      <c r="D334" s="72" t="s">
        <v>4879</v>
      </c>
      <c r="E334" s="73" t="s">
        <v>19</v>
      </c>
      <c r="F334" s="75">
        <v>42145</v>
      </c>
      <c r="G334" s="82">
        <f>156</f>
        <v>156</v>
      </c>
      <c r="H334" s="79"/>
      <c r="I334" s="79"/>
      <c r="J334" s="79"/>
      <c r="K334" s="79"/>
      <c r="L334" s="79"/>
      <c r="M334" s="79"/>
      <c r="N334" s="79"/>
      <c r="O334" s="79"/>
      <c r="P334" s="79"/>
      <c r="Q334" s="79">
        <f t="shared" si="15"/>
        <v>156</v>
      </c>
      <c r="R334" s="79">
        <f t="shared" si="16"/>
        <v>0</v>
      </c>
      <c r="S334" s="79">
        <f t="shared" si="17"/>
        <v>156</v>
      </c>
    </row>
    <row r="335" spans="1:19" x14ac:dyDescent="0.2">
      <c r="A335" s="102" t="s">
        <v>4791</v>
      </c>
      <c r="B335" s="71" t="s">
        <v>4836</v>
      </c>
      <c r="C335" s="76">
        <v>205</v>
      </c>
      <c r="D335" s="72" t="s">
        <v>4880</v>
      </c>
      <c r="E335" s="73" t="s">
        <v>19</v>
      </c>
      <c r="F335" s="75">
        <v>42145</v>
      </c>
      <c r="G335" s="82">
        <f>133.34</f>
        <v>133.34</v>
      </c>
      <c r="H335" s="79"/>
      <c r="I335" s="79"/>
      <c r="J335" s="79"/>
      <c r="K335" s="79"/>
      <c r="L335" s="79"/>
      <c r="M335" s="79"/>
      <c r="N335" s="79"/>
      <c r="O335" s="79"/>
      <c r="P335" s="79"/>
      <c r="Q335" s="79">
        <f t="shared" si="15"/>
        <v>133.34</v>
      </c>
      <c r="R335" s="79">
        <f t="shared" si="16"/>
        <v>0</v>
      </c>
      <c r="S335" s="79">
        <f t="shared" si="17"/>
        <v>133.34</v>
      </c>
    </row>
    <row r="336" spans="1:19" x14ac:dyDescent="0.2">
      <c r="A336" s="102" t="s">
        <v>4791</v>
      </c>
      <c r="B336" s="71" t="s">
        <v>4836</v>
      </c>
      <c r="C336" s="76">
        <v>205</v>
      </c>
      <c r="D336" s="72" t="s">
        <v>4881</v>
      </c>
      <c r="E336" s="73" t="s">
        <v>19</v>
      </c>
      <c r="F336" s="75">
        <v>42145</v>
      </c>
      <c r="G336" s="82">
        <f>95.58</f>
        <v>95.58</v>
      </c>
      <c r="H336" s="79"/>
      <c r="I336" s="79"/>
      <c r="J336" s="79"/>
      <c r="K336" s="79"/>
      <c r="L336" s="79"/>
      <c r="M336" s="79"/>
      <c r="N336" s="79"/>
      <c r="O336" s="79"/>
      <c r="P336" s="79"/>
      <c r="Q336" s="79">
        <f t="shared" si="15"/>
        <v>95.58</v>
      </c>
      <c r="R336" s="79">
        <f t="shared" si="16"/>
        <v>0</v>
      </c>
      <c r="S336" s="79">
        <f t="shared" si="17"/>
        <v>95.58</v>
      </c>
    </row>
    <row r="337" spans="1:19" x14ac:dyDescent="0.2">
      <c r="A337" s="102" t="s">
        <v>4201</v>
      </c>
      <c r="B337" s="71" t="s">
        <v>4215</v>
      </c>
      <c r="C337" s="76">
        <v>206</v>
      </c>
      <c r="D337" s="72" t="s">
        <v>4882</v>
      </c>
      <c r="E337" s="73" t="s">
        <v>19</v>
      </c>
      <c r="F337" s="75">
        <v>42145</v>
      </c>
      <c r="G337" s="82">
        <f>47.2</f>
        <v>47.2</v>
      </c>
      <c r="H337" s="79"/>
      <c r="I337" s="79"/>
      <c r="J337" s="79"/>
      <c r="K337" s="79"/>
      <c r="L337" s="79"/>
      <c r="M337" s="79"/>
      <c r="N337" s="79"/>
      <c r="O337" s="79"/>
      <c r="P337" s="79"/>
      <c r="Q337" s="79">
        <f t="shared" si="15"/>
        <v>47.2</v>
      </c>
      <c r="R337" s="79">
        <f t="shared" si="16"/>
        <v>0</v>
      </c>
      <c r="S337" s="79">
        <f t="shared" si="17"/>
        <v>47.2</v>
      </c>
    </row>
    <row r="338" spans="1:19" x14ac:dyDescent="0.2">
      <c r="A338" s="102" t="s">
        <v>4792</v>
      </c>
      <c r="B338" s="71" t="s">
        <v>4837</v>
      </c>
      <c r="C338" s="76">
        <v>207</v>
      </c>
      <c r="D338" s="72" t="s">
        <v>4883</v>
      </c>
      <c r="E338" s="73" t="s">
        <v>19</v>
      </c>
      <c r="F338" s="75">
        <v>42145</v>
      </c>
      <c r="G338" s="82">
        <f>121.78</f>
        <v>121.78</v>
      </c>
      <c r="H338" s="79"/>
      <c r="I338" s="79">
        <f>150</f>
        <v>150</v>
      </c>
      <c r="J338" s="79"/>
      <c r="K338" s="79"/>
      <c r="L338" s="79"/>
      <c r="M338" s="79"/>
      <c r="N338" s="79"/>
      <c r="O338" s="79"/>
      <c r="P338" s="79"/>
      <c r="Q338" s="79">
        <f t="shared" si="15"/>
        <v>271.77999999999997</v>
      </c>
      <c r="R338" s="79">
        <f t="shared" si="16"/>
        <v>0</v>
      </c>
      <c r="S338" s="79">
        <f t="shared" si="17"/>
        <v>271.77999999999997</v>
      </c>
    </row>
    <row r="339" spans="1:19" x14ac:dyDescent="0.2">
      <c r="A339" s="102" t="s">
        <v>4793</v>
      </c>
      <c r="B339" s="71" t="s">
        <v>4838</v>
      </c>
      <c r="C339" s="76">
        <v>208</v>
      </c>
      <c r="D339" s="72" t="s">
        <v>4884</v>
      </c>
      <c r="E339" s="73" t="s">
        <v>19</v>
      </c>
      <c r="F339" s="75">
        <v>42145</v>
      </c>
      <c r="G339" s="82">
        <f>200.25</f>
        <v>200.25</v>
      </c>
      <c r="H339" s="79"/>
      <c r="I339" s="79"/>
      <c r="J339" s="79"/>
      <c r="K339" s="79"/>
      <c r="L339" s="79"/>
      <c r="M339" s="79"/>
      <c r="N339" s="79"/>
      <c r="O339" s="79"/>
      <c r="P339" s="79"/>
      <c r="Q339" s="79">
        <f t="shared" si="15"/>
        <v>200.25</v>
      </c>
      <c r="R339" s="79">
        <f t="shared" si="16"/>
        <v>0</v>
      </c>
      <c r="S339" s="79">
        <f t="shared" si="17"/>
        <v>200.25</v>
      </c>
    </row>
    <row r="340" spans="1:19" x14ac:dyDescent="0.2">
      <c r="A340" s="102" t="s">
        <v>4793</v>
      </c>
      <c r="B340" s="71" t="s">
        <v>4838</v>
      </c>
      <c r="C340" s="76">
        <v>208</v>
      </c>
      <c r="D340" s="72" t="s">
        <v>4885</v>
      </c>
      <c r="E340" s="73" t="s">
        <v>19</v>
      </c>
      <c r="F340" s="75">
        <v>42145</v>
      </c>
      <c r="G340" s="82">
        <f>93.22</f>
        <v>93.22</v>
      </c>
      <c r="H340" s="79"/>
      <c r="I340" s="79"/>
      <c r="J340" s="79"/>
      <c r="K340" s="79"/>
      <c r="L340" s="79"/>
      <c r="M340" s="79"/>
      <c r="N340" s="79"/>
      <c r="O340" s="79"/>
      <c r="P340" s="79"/>
      <c r="Q340" s="79">
        <f t="shared" si="15"/>
        <v>93.22</v>
      </c>
      <c r="R340" s="79">
        <f t="shared" si="16"/>
        <v>0</v>
      </c>
      <c r="S340" s="79">
        <f t="shared" si="17"/>
        <v>93.22</v>
      </c>
    </row>
    <row r="341" spans="1:19" x14ac:dyDescent="0.2">
      <c r="A341" s="102" t="s">
        <v>4793</v>
      </c>
      <c r="B341" s="71" t="s">
        <v>4838</v>
      </c>
      <c r="C341" s="76">
        <v>208</v>
      </c>
      <c r="D341" s="72" t="s">
        <v>4886</v>
      </c>
      <c r="E341" s="73" t="s">
        <v>19</v>
      </c>
      <c r="F341" s="75">
        <v>42145</v>
      </c>
      <c r="G341" s="82">
        <f>57.94</f>
        <v>57.94</v>
      </c>
      <c r="H341" s="79"/>
      <c r="I341" s="79"/>
      <c r="J341" s="79"/>
      <c r="K341" s="79"/>
      <c r="L341" s="79"/>
      <c r="M341" s="79"/>
      <c r="N341" s="79"/>
      <c r="O341" s="79"/>
      <c r="P341" s="79"/>
      <c r="Q341" s="79">
        <f t="shared" si="15"/>
        <v>57.94</v>
      </c>
      <c r="R341" s="79">
        <f t="shared" si="16"/>
        <v>0</v>
      </c>
      <c r="S341" s="79">
        <f t="shared" si="17"/>
        <v>57.94</v>
      </c>
    </row>
    <row r="342" spans="1:19" x14ac:dyDescent="0.2">
      <c r="A342" s="102" t="s">
        <v>4794</v>
      </c>
      <c r="B342" s="71" t="s">
        <v>4839</v>
      </c>
      <c r="C342" s="76">
        <v>209</v>
      </c>
      <c r="D342" s="72" t="s">
        <v>4887</v>
      </c>
      <c r="E342" s="73" t="s">
        <v>19</v>
      </c>
      <c r="F342" s="75">
        <v>42145</v>
      </c>
      <c r="G342" s="82">
        <f>126.38</f>
        <v>126.38</v>
      </c>
      <c r="H342" s="79"/>
      <c r="I342" s="79"/>
      <c r="J342" s="79"/>
      <c r="K342" s="79"/>
      <c r="L342" s="79"/>
      <c r="M342" s="79"/>
      <c r="N342" s="79"/>
      <c r="O342" s="79"/>
      <c r="P342" s="79"/>
      <c r="Q342" s="79">
        <f t="shared" si="15"/>
        <v>126.38</v>
      </c>
      <c r="R342" s="79">
        <f t="shared" si="16"/>
        <v>0</v>
      </c>
      <c r="S342" s="79">
        <f t="shared" si="17"/>
        <v>126.38</v>
      </c>
    </row>
    <row r="343" spans="1:19" x14ac:dyDescent="0.2">
      <c r="A343" s="102" t="s">
        <v>4795</v>
      </c>
      <c r="B343" s="71" t="s">
        <v>4840</v>
      </c>
      <c r="C343" s="76">
        <v>210</v>
      </c>
      <c r="D343" s="72" t="s">
        <v>4888</v>
      </c>
      <c r="E343" s="73" t="s">
        <v>19</v>
      </c>
      <c r="F343" s="75">
        <v>42145</v>
      </c>
      <c r="G343" s="82">
        <f>534.48</f>
        <v>534.48</v>
      </c>
      <c r="H343" s="79"/>
      <c r="I343" s="79"/>
      <c r="J343" s="79"/>
      <c r="K343" s="79"/>
      <c r="L343" s="79"/>
      <c r="M343" s="79"/>
      <c r="N343" s="79"/>
      <c r="O343" s="79"/>
      <c r="P343" s="79"/>
      <c r="Q343" s="79">
        <f t="shared" si="15"/>
        <v>534.48</v>
      </c>
      <c r="R343" s="79">
        <f t="shared" si="16"/>
        <v>0</v>
      </c>
      <c r="S343" s="79">
        <f t="shared" si="17"/>
        <v>534.48</v>
      </c>
    </row>
    <row r="344" spans="1:19" x14ac:dyDescent="0.2">
      <c r="A344" s="102" t="s">
        <v>4796</v>
      </c>
      <c r="B344" s="71" t="s">
        <v>4841</v>
      </c>
      <c r="C344" s="76">
        <v>211</v>
      </c>
      <c r="D344" s="72" t="s">
        <v>4889</v>
      </c>
      <c r="E344" s="73" t="s">
        <v>19</v>
      </c>
      <c r="F344" s="75">
        <v>42149</v>
      </c>
      <c r="G344" s="82">
        <f>110.92</f>
        <v>110.92</v>
      </c>
      <c r="H344" s="79"/>
      <c r="I344" s="79"/>
      <c r="J344" s="79"/>
      <c r="K344" s="79"/>
      <c r="L344" s="79"/>
      <c r="M344" s="79"/>
      <c r="N344" s="79"/>
      <c r="O344" s="79"/>
      <c r="P344" s="79"/>
      <c r="Q344" s="79">
        <f t="shared" si="15"/>
        <v>110.92</v>
      </c>
      <c r="R344" s="79">
        <f t="shared" si="16"/>
        <v>0</v>
      </c>
      <c r="S344" s="79">
        <f t="shared" si="17"/>
        <v>110.92</v>
      </c>
    </row>
    <row r="345" spans="1:19" x14ac:dyDescent="0.2">
      <c r="A345" s="102" t="s">
        <v>4796</v>
      </c>
      <c r="B345" s="71" t="s">
        <v>4841</v>
      </c>
      <c r="C345" s="76">
        <v>211</v>
      </c>
      <c r="D345" s="72" t="s">
        <v>4890</v>
      </c>
      <c r="E345" s="73" t="s">
        <v>19</v>
      </c>
      <c r="F345" s="75">
        <v>42149</v>
      </c>
      <c r="G345" s="82">
        <f>167.56</f>
        <v>167.56</v>
      </c>
      <c r="H345" s="79"/>
      <c r="I345" s="79"/>
      <c r="J345" s="79"/>
      <c r="K345" s="79"/>
      <c r="L345" s="79"/>
      <c r="M345" s="79"/>
      <c r="N345" s="79"/>
      <c r="O345" s="79"/>
      <c r="P345" s="79"/>
      <c r="Q345" s="79">
        <f t="shared" si="15"/>
        <v>167.56</v>
      </c>
      <c r="R345" s="79">
        <f t="shared" si="16"/>
        <v>0</v>
      </c>
      <c r="S345" s="79">
        <f t="shared" si="17"/>
        <v>167.56</v>
      </c>
    </row>
    <row r="346" spans="1:19" x14ac:dyDescent="0.2">
      <c r="A346" s="102" t="s">
        <v>4797</v>
      </c>
      <c r="B346" s="71" t="s">
        <v>4842</v>
      </c>
      <c r="C346" s="76">
        <v>212</v>
      </c>
      <c r="D346" s="72" t="s">
        <v>4891</v>
      </c>
      <c r="E346" s="73" t="s">
        <v>19</v>
      </c>
      <c r="F346" s="75">
        <v>42150</v>
      </c>
      <c r="G346" s="82">
        <f>231.6</f>
        <v>231.6</v>
      </c>
      <c r="H346" s="79"/>
      <c r="I346" s="79"/>
      <c r="J346" s="79"/>
      <c r="K346" s="79"/>
      <c r="L346" s="79"/>
      <c r="M346" s="79"/>
      <c r="N346" s="79"/>
      <c r="O346" s="79"/>
      <c r="P346" s="79"/>
      <c r="Q346" s="79">
        <f t="shared" si="15"/>
        <v>231.6</v>
      </c>
      <c r="R346" s="79">
        <f t="shared" si="16"/>
        <v>0</v>
      </c>
      <c r="S346" s="79">
        <f t="shared" si="17"/>
        <v>231.6</v>
      </c>
    </row>
    <row r="347" spans="1:19" x14ac:dyDescent="0.2">
      <c r="A347" s="102" t="s">
        <v>4798</v>
      </c>
      <c r="B347" s="71" t="s">
        <v>4843</v>
      </c>
      <c r="C347" s="76">
        <v>213</v>
      </c>
      <c r="D347" s="72" t="s">
        <v>4892</v>
      </c>
      <c r="E347" s="73" t="s">
        <v>19</v>
      </c>
      <c r="F347" s="75">
        <v>42150</v>
      </c>
      <c r="G347" s="82">
        <f>48</f>
        <v>48</v>
      </c>
      <c r="H347" s="79"/>
      <c r="I347" s="79"/>
      <c r="J347" s="79"/>
      <c r="K347" s="79"/>
      <c r="L347" s="79"/>
      <c r="M347" s="79"/>
      <c r="N347" s="79"/>
      <c r="O347" s="79"/>
      <c r="P347" s="79"/>
      <c r="Q347" s="79">
        <f t="shared" si="15"/>
        <v>48</v>
      </c>
      <c r="R347" s="79">
        <f t="shared" si="16"/>
        <v>0</v>
      </c>
      <c r="S347" s="79">
        <f t="shared" si="17"/>
        <v>48</v>
      </c>
    </row>
    <row r="348" spans="1:19" x14ac:dyDescent="0.2">
      <c r="A348" s="102" t="s">
        <v>4799</v>
      </c>
      <c r="B348" s="71" t="s">
        <v>4844</v>
      </c>
      <c r="C348" s="76">
        <v>214</v>
      </c>
      <c r="D348" s="72" t="s">
        <v>4893</v>
      </c>
      <c r="E348" s="73" t="s">
        <v>19</v>
      </c>
      <c r="F348" s="75">
        <v>42150</v>
      </c>
      <c r="G348" s="82">
        <f>148.1</f>
        <v>148.1</v>
      </c>
      <c r="H348" s="79"/>
      <c r="I348" s="79"/>
      <c r="J348" s="79"/>
      <c r="K348" s="79"/>
      <c r="L348" s="79"/>
      <c r="M348" s="79"/>
      <c r="N348" s="79"/>
      <c r="O348" s="79"/>
      <c r="P348" s="79"/>
      <c r="Q348" s="79">
        <f t="shared" si="15"/>
        <v>148.1</v>
      </c>
      <c r="R348" s="79">
        <f t="shared" si="16"/>
        <v>0</v>
      </c>
      <c r="S348" s="79">
        <f t="shared" si="17"/>
        <v>148.1</v>
      </c>
    </row>
    <row r="349" spans="1:19" x14ac:dyDescent="0.2">
      <c r="A349" s="102" t="s">
        <v>4800</v>
      </c>
      <c r="B349" s="71" t="s">
        <v>4845</v>
      </c>
      <c r="C349" s="76">
        <v>215</v>
      </c>
      <c r="D349" s="72" t="s">
        <v>4894</v>
      </c>
      <c r="E349" s="73" t="s">
        <v>19</v>
      </c>
      <c r="F349" s="75">
        <v>42150</v>
      </c>
      <c r="G349" s="82">
        <f>80.33+2177.38+128.73+80.33+92.6</f>
        <v>2559.37</v>
      </c>
      <c r="H349" s="79"/>
      <c r="I349" s="79">
        <f>2250+1600</f>
        <v>3850</v>
      </c>
      <c r="J349" s="79"/>
      <c r="K349" s="79"/>
      <c r="L349" s="79"/>
      <c r="M349" s="79"/>
      <c r="N349" s="79"/>
      <c r="O349" s="79"/>
      <c r="P349" s="79"/>
      <c r="Q349" s="79">
        <f t="shared" si="15"/>
        <v>6409.37</v>
      </c>
      <c r="R349" s="79">
        <f t="shared" si="16"/>
        <v>0</v>
      </c>
      <c r="S349" s="79">
        <f t="shared" si="17"/>
        <v>6409.37</v>
      </c>
    </row>
    <row r="350" spans="1:19" x14ac:dyDescent="0.2">
      <c r="A350" s="102" t="s">
        <v>4801</v>
      </c>
      <c r="B350" s="71" t="s">
        <v>4846</v>
      </c>
      <c r="C350" s="76">
        <v>216</v>
      </c>
      <c r="D350" s="72" t="s">
        <v>4895</v>
      </c>
      <c r="E350" s="73" t="s">
        <v>19</v>
      </c>
      <c r="F350" s="75">
        <v>42150</v>
      </c>
      <c r="G350" s="82">
        <f>240+240+235.3+80+30.7+29.5+241.9+183.15+53.1</f>
        <v>1333.65</v>
      </c>
      <c r="H350" s="79"/>
      <c r="I350" s="79">
        <f>375</f>
        <v>375</v>
      </c>
      <c r="J350" s="79"/>
      <c r="K350" s="79"/>
      <c r="L350" s="79"/>
      <c r="M350" s="79"/>
      <c r="N350" s="79"/>
      <c r="O350" s="79"/>
      <c r="P350" s="79"/>
      <c r="Q350" s="79">
        <f t="shared" si="15"/>
        <v>1708.65</v>
      </c>
      <c r="R350" s="79">
        <f t="shared" si="16"/>
        <v>0</v>
      </c>
      <c r="S350" s="79">
        <f t="shared" si="17"/>
        <v>1708.65</v>
      </c>
    </row>
    <row r="351" spans="1:19" x14ac:dyDescent="0.2">
      <c r="A351" s="102" t="s">
        <v>4801</v>
      </c>
      <c r="B351" s="71" t="s">
        <v>4846</v>
      </c>
      <c r="C351" s="76">
        <v>216</v>
      </c>
      <c r="D351" s="72" t="s">
        <v>4896</v>
      </c>
      <c r="E351" s="73" t="s">
        <v>19</v>
      </c>
      <c r="F351" s="75">
        <v>42150</v>
      </c>
      <c r="G351" s="82">
        <f>50+480+202.75+115+34.7+18+183.15</f>
        <v>1083.6000000000001</v>
      </c>
      <c r="H351" s="79"/>
      <c r="I351" s="79"/>
      <c r="J351" s="79"/>
      <c r="K351" s="79"/>
      <c r="L351" s="79"/>
      <c r="M351" s="79"/>
      <c r="N351" s="79"/>
      <c r="O351" s="79"/>
      <c r="P351" s="79"/>
      <c r="Q351" s="79">
        <f t="shared" si="15"/>
        <v>1083.6000000000001</v>
      </c>
      <c r="R351" s="79">
        <f t="shared" si="16"/>
        <v>0</v>
      </c>
      <c r="S351" s="79">
        <f t="shared" si="17"/>
        <v>1083.6000000000001</v>
      </c>
    </row>
    <row r="352" spans="1:19" x14ac:dyDescent="0.2">
      <c r="A352" s="102" t="s">
        <v>4801</v>
      </c>
      <c r="B352" s="71" t="s">
        <v>4846</v>
      </c>
      <c r="C352" s="76">
        <v>216</v>
      </c>
      <c r="D352" s="72" t="s">
        <v>4897</v>
      </c>
      <c r="E352" s="73" t="s">
        <v>19</v>
      </c>
      <c r="F352" s="75">
        <v>42150</v>
      </c>
      <c r="G352" s="82">
        <f>1446.49+47.2+143.1+491.72+49</f>
        <v>2177.5100000000002</v>
      </c>
      <c r="H352" s="79"/>
      <c r="I352" s="79">
        <f>525</f>
        <v>525</v>
      </c>
      <c r="J352" s="79"/>
      <c r="K352" s="79"/>
      <c r="L352" s="79"/>
      <c r="M352" s="79"/>
      <c r="N352" s="79"/>
      <c r="O352" s="79"/>
      <c r="P352" s="79"/>
      <c r="Q352" s="79">
        <f t="shared" si="15"/>
        <v>2702.51</v>
      </c>
      <c r="R352" s="79">
        <f t="shared" si="16"/>
        <v>0</v>
      </c>
      <c r="S352" s="79">
        <f t="shared" si="17"/>
        <v>2702.51</v>
      </c>
    </row>
    <row r="353" spans="1:19" x14ac:dyDescent="0.2">
      <c r="A353" s="102" t="s">
        <v>4802</v>
      </c>
      <c r="B353" s="71" t="s">
        <v>4847</v>
      </c>
      <c r="C353" s="76">
        <v>217</v>
      </c>
      <c r="D353" s="72" t="s">
        <v>4898</v>
      </c>
      <c r="E353" s="73" t="s">
        <v>19</v>
      </c>
      <c r="F353" s="75">
        <v>42153</v>
      </c>
      <c r="G353" s="82">
        <f>228.59</f>
        <v>228.59</v>
      </c>
      <c r="H353" s="79"/>
      <c r="I353" s="79"/>
      <c r="J353" s="79"/>
      <c r="K353" s="79"/>
      <c r="L353" s="79"/>
      <c r="M353" s="79"/>
      <c r="N353" s="79"/>
      <c r="O353" s="79"/>
      <c r="P353" s="79"/>
      <c r="Q353" s="79">
        <f t="shared" si="15"/>
        <v>228.59</v>
      </c>
      <c r="R353" s="79">
        <f t="shared" si="16"/>
        <v>0</v>
      </c>
      <c r="S353" s="79">
        <f t="shared" si="17"/>
        <v>228.59</v>
      </c>
    </row>
    <row r="354" spans="1:19" x14ac:dyDescent="0.2">
      <c r="A354" s="102" t="s">
        <v>4803</v>
      </c>
      <c r="B354" s="71" t="s">
        <v>4848</v>
      </c>
      <c r="C354" s="76">
        <v>218</v>
      </c>
      <c r="D354" s="72" t="s">
        <v>4899</v>
      </c>
      <c r="E354" s="73" t="s">
        <v>19</v>
      </c>
      <c r="F354" s="75">
        <v>42153</v>
      </c>
      <c r="G354" s="82">
        <f>257</f>
        <v>257</v>
      </c>
      <c r="H354" s="79"/>
      <c r="I354" s="79"/>
      <c r="J354" s="79"/>
      <c r="K354" s="79"/>
      <c r="L354" s="79"/>
      <c r="M354" s="79"/>
      <c r="N354" s="79"/>
      <c r="O354" s="79"/>
      <c r="P354" s="79"/>
      <c r="Q354" s="79">
        <f t="shared" si="15"/>
        <v>257</v>
      </c>
      <c r="R354" s="79">
        <f t="shared" si="16"/>
        <v>0</v>
      </c>
      <c r="S354" s="79">
        <f t="shared" si="17"/>
        <v>257</v>
      </c>
    </row>
    <row r="355" spans="1:19" x14ac:dyDescent="0.2">
      <c r="A355" s="102" t="s">
        <v>4803</v>
      </c>
      <c r="B355" s="71" t="s">
        <v>4848</v>
      </c>
      <c r="C355" s="76">
        <v>218</v>
      </c>
      <c r="D355" s="72" t="s">
        <v>4900</v>
      </c>
      <c r="E355" s="73" t="s">
        <v>19</v>
      </c>
      <c r="F355" s="75">
        <v>42153</v>
      </c>
      <c r="G355" s="82">
        <f>205</f>
        <v>205</v>
      </c>
      <c r="H355" s="79"/>
      <c r="I355" s="79"/>
      <c r="J355" s="79"/>
      <c r="K355" s="79"/>
      <c r="L355" s="79"/>
      <c r="M355" s="79"/>
      <c r="N355" s="79"/>
      <c r="O355" s="79"/>
      <c r="P355" s="79"/>
      <c r="Q355" s="79">
        <f t="shared" si="15"/>
        <v>205</v>
      </c>
      <c r="R355" s="79">
        <f t="shared" si="16"/>
        <v>0</v>
      </c>
      <c r="S355" s="79">
        <f t="shared" si="17"/>
        <v>205</v>
      </c>
    </row>
    <row r="356" spans="1:19" x14ac:dyDescent="0.2">
      <c r="A356" s="102" t="s">
        <v>4804</v>
      </c>
      <c r="B356" s="71" t="s">
        <v>4849</v>
      </c>
      <c r="C356" s="76">
        <v>219</v>
      </c>
      <c r="D356" s="72" t="s">
        <v>4901</v>
      </c>
      <c r="E356" s="73" t="s">
        <v>19</v>
      </c>
      <c r="F356" s="75">
        <v>42154</v>
      </c>
      <c r="G356" s="82"/>
      <c r="H356" s="79"/>
      <c r="I356" s="79"/>
      <c r="J356" s="79"/>
      <c r="K356" s="79"/>
      <c r="L356" s="79"/>
      <c r="M356" s="79"/>
      <c r="N356" s="79"/>
      <c r="O356" s="79"/>
      <c r="P356" s="79"/>
      <c r="Q356" s="79">
        <f t="shared" si="15"/>
        <v>0</v>
      </c>
      <c r="R356" s="79">
        <f t="shared" si="16"/>
        <v>0</v>
      </c>
      <c r="S356" s="79">
        <f t="shared" si="17"/>
        <v>0</v>
      </c>
    </row>
    <row r="357" spans="1:19" x14ac:dyDescent="0.2">
      <c r="A357" s="102" t="s">
        <v>4805</v>
      </c>
      <c r="B357" s="71" t="s">
        <v>4850</v>
      </c>
      <c r="C357" s="76">
        <v>220</v>
      </c>
      <c r="D357" s="72" t="s">
        <v>4902</v>
      </c>
      <c r="E357" s="73" t="s">
        <v>19</v>
      </c>
      <c r="F357" s="75">
        <v>42156</v>
      </c>
      <c r="G357" s="82">
        <f>113</f>
        <v>113</v>
      </c>
      <c r="H357" s="79"/>
      <c r="I357" s="79"/>
      <c r="J357" s="79"/>
      <c r="K357" s="79"/>
      <c r="L357" s="79"/>
      <c r="M357" s="79"/>
      <c r="N357" s="79"/>
      <c r="O357" s="79"/>
      <c r="P357" s="79"/>
      <c r="Q357" s="79">
        <f t="shared" si="15"/>
        <v>113</v>
      </c>
      <c r="R357" s="79">
        <f t="shared" si="16"/>
        <v>0</v>
      </c>
      <c r="S357" s="79">
        <f t="shared" si="17"/>
        <v>113</v>
      </c>
    </row>
    <row r="358" spans="1:19" x14ac:dyDescent="0.2">
      <c r="A358" s="102" t="s">
        <v>4805</v>
      </c>
      <c r="B358" s="71" t="s">
        <v>4850</v>
      </c>
      <c r="C358" s="76">
        <v>220</v>
      </c>
      <c r="D358" s="72" t="s">
        <v>4903</v>
      </c>
      <c r="E358" s="73" t="s">
        <v>19</v>
      </c>
      <c r="F358" s="75">
        <v>42156</v>
      </c>
      <c r="G358" s="82">
        <f>173</f>
        <v>173</v>
      </c>
      <c r="H358" s="79"/>
      <c r="I358" s="79"/>
      <c r="J358" s="79"/>
      <c r="K358" s="79"/>
      <c r="L358" s="79"/>
      <c r="M358" s="79"/>
      <c r="N358" s="79"/>
      <c r="O358" s="79"/>
      <c r="P358" s="79"/>
      <c r="Q358" s="79">
        <f t="shared" si="15"/>
        <v>173</v>
      </c>
      <c r="R358" s="79">
        <f t="shared" si="16"/>
        <v>0</v>
      </c>
      <c r="S358" s="79">
        <f t="shared" si="17"/>
        <v>173</v>
      </c>
    </row>
    <row r="359" spans="1:19" x14ac:dyDescent="0.2">
      <c r="A359" s="102" t="s">
        <v>4805</v>
      </c>
      <c r="B359" s="71" t="s">
        <v>4850</v>
      </c>
      <c r="C359" s="76">
        <v>220</v>
      </c>
      <c r="D359" s="72" t="s">
        <v>4904</v>
      </c>
      <c r="E359" s="73" t="s">
        <v>19</v>
      </c>
      <c r="F359" s="75">
        <v>42156</v>
      </c>
      <c r="G359" s="82">
        <f>48</f>
        <v>48</v>
      </c>
      <c r="H359" s="79"/>
      <c r="I359" s="79"/>
      <c r="J359" s="79"/>
      <c r="K359" s="79"/>
      <c r="L359" s="79"/>
      <c r="M359" s="79"/>
      <c r="N359" s="79"/>
      <c r="O359" s="79"/>
      <c r="P359" s="79"/>
      <c r="Q359" s="79">
        <f t="shared" si="15"/>
        <v>48</v>
      </c>
      <c r="R359" s="79">
        <f t="shared" si="16"/>
        <v>0</v>
      </c>
      <c r="S359" s="79">
        <f t="shared" si="17"/>
        <v>48</v>
      </c>
    </row>
    <row r="360" spans="1:19" x14ac:dyDescent="0.2">
      <c r="A360" s="102" t="s">
        <v>4806</v>
      </c>
      <c r="B360" s="71" t="s">
        <v>4851</v>
      </c>
      <c r="C360" s="76">
        <v>221</v>
      </c>
      <c r="D360" s="72" t="s">
        <v>4905</v>
      </c>
      <c r="E360" s="73" t="s">
        <v>19</v>
      </c>
      <c r="F360" s="75">
        <v>42157</v>
      </c>
      <c r="G360" s="82">
        <f>140.77</f>
        <v>140.77000000000001</v>
      </c>
      <c r="H360" s="79"/>
      <c r="I360" s="79"/>
      <c r="J360" s="79"/>
      <c r="K360" s="79"/>
      <c r="L360" s="79"/>
      <c r="M360" s="79"/>
      <c r="N360" s="79"/>
      <c r="O360" s="79"/>
      <c r="P360" s="79"/>
      <c r="Q360" s="79">
        <f t="shared" si="15"/>
        <v>140.77000000000001</v>
      </c>
      <c r="R360" s="79">
        <f t="shared" si="16"/>
        <v>0</v>
      </c>
      <c r="S360" s="79">
        <f t="shared" si="17"/>
        <v>140.77000000000001</v>
      </c>
    </row>
    <row r="361" spans="1:19" x14ac:dyDescent="0.2">
      <c r="A361" s="102" t="s">
        <v>4807</v>
      </c>
      <c r="B361" s="71" t="s">
        <v>4852</v>
      </c>
      <c r="C361" s="76">
        <v>222</v>
      </c>
      <c r="D361" s="72" t="s">
        <v>4906</v>
      </c>
      <c r="E361" s="73" t="s">
        <v>19</v>
      </c>
      <c r="F361" s="75">
        <v>42157</v>
      </c>
      <c r="G361" s="82">
        <f>59</f>
        <v>59</v>
      </c>
      <c r="H361" s="79"/>
      <c r="I361" s="79"/>
      <c r="J361" s="79"/>
      <c r="K361" s="79"/>
      <c r="L361" s="79"/>
      <c r="M361" s="79"/>
      <c r="N361" s="79"/>
      <c r="O361" s="79"/>
      <c r="P361" s="79"/>
      <c r="Q361" s="79">
        <f t="shared" si="15"/>
        <v>59</v>
      </c>
      <c r="R361" s="79">
        <f t="shared" si="16"/>
        <v>0</v>
      </c>
      <c r="S361" s="79">
        <f t="shared" si="17"/>
        <v>59</v>
      </c>
    </row>
    <row r="362" spans="1:19" x14ac:dyDescent="0.2">
      <c r="A362" s="102" t="s">
        <v>4808</v>
      </c>
      <c r="B362" s="71" t="s">
        <v>4853</v>
      </c>
      <c r="C362" s="76">
        <v>223</v>
      </c>
      <c r="D362" s="72" t="s">
        <v>4907</v>
      </c>
      <c r="E362" s="73" t="s">
        <v>19</v>
      </c>
      <c r="F362" s="75">
        <v>42157</v>
      </c>
      <c r="G362" s="82">
        <f>125.61</f>
        <v>125.61</v>
      </c>
      <c r="H362" s="79"/>
      <c r="I362" s="79"/>
      <c r="J362" s="79"/>
      <c r="K362" s="79"/>
      <c r="L362" s="79"/>
      <c r="M362" s="79"/>
      <c r="N362" s="79"/>
      <c r="O362" s="79"/>
      <c r="P362" s="79"/>
      <c r="Q362" s="79">
        <f t="shared" si="15"/>
        <v>125.61</v>
      </c>
      <c r="R362" s="79">
        <f t="shared" si="16"/>
        <v>0</v>
      </c>
      <c r="S362" s="79">
        <f t="shared" si="17"/>
        <v>125.61</v>
      </c>
    </row>
    <row r="363" spans="1:19" x14ac:dyDescent="0.2">
      <c r="A363" s="102" t="s">
        <v>4809</v>
      </c>
      <c r="B363" s="71" t="s">
        <v>4854</v>
      </c>
      <c r="C363" s="76">
        <v>224</v>
      </c>
      <c r="D363" s="72" t="s">
        <v>4908</v>
      </c>
      <c r="E363" s="73" t="s">
        <v>19</v>
      </c>
      <c r="F363" s="75">
        <v>42157</v>
      </c>
      <c r="G363" s="82">
        <f>240+90.31+640.8</f>
        <v>971.1099999999999</v>
      </c>
      <c r="H363" s="79"/>
      <c r="I363" s="79"/>
      <c r="J363" s="79"/>
      <c r="K363" s="79"/>
      <c r="L363" s="79"/>
      <c r="M363" s="79"/>
      <c r="N363" s="79"/>
      <c r="O363" s="79"/>
      <c r="P363" s="79"/>
      <c r="Q363" s="79">
        <f t="shared" si="15"/>
        <v>971.1099999999999</v>
      </c>
      <c r="R363" s="79">
        <f t="shared" si="16"/>
        <v>0</v>
      </c>
      <c r="S363" s="79">
        <f t="shared" si="17"/>
        <v>971.1099999999999</v>
      </c>
    </row>
    <row r="364" spans="1:19" x14ac:dyDescent="0.2">
      <c r="A364" s="102" t="s">
        <v>4809</v>
      </c>
      <c r="B364" s="71" t="s">
        <v>4854</v>
      </c>
      <c r="C364" s="76">
        <v>224</v>
      </c>
      <c r="D364" s="72" t="s">
        <v>4909</v>
      </c>
      <c r="E364" s="73" t="s">
        <v>19</v>
      </c>
      <c r="F364" s="75">
        <v>42157</v>
      </c>
      <c r="G364" s="82">
        <f>550.87+121.26</f>
        <v>672.13</v>
      </c>
      <c r="H364" s="79"/>
      <c r="I364" s="79"/>
      <c r="J364" s="79"/>
      <c r="K364" s="79"/>
      <c r="L364" s="79"/>
      <c r="M364" s="79"/>
      <c r="N364" s="79"/>
      <c r="O364" s="79"/>
      <c r="P364" s="79"/>
      <c r="Q364" s="79">
        <f t="shared" si="15"/>
        <v>672.13</v>
      </c>
      <c r="R364" s="79">
        <f t="shared" si="16"/>
        <v>0</v>
      </c>
      <c r="S364" s="79">
        <f t="shared" si="17"/>
        <v>672.13</v>
      </c>
    </row>
    <row r="365" spans="1:19" x14ac:dyDescent="0.2">
      <c r="A365" s="102" t="s">
        <v>4809</v>
      </c>
      <c r="B365" s="71" t="s">
        <v>4854</v>
      </c>
      <c r="C365" s="76">
        <v>224</v>
      </c>
      <c r="D365" s="72" t="s">
        <v>4910</v>
      </c>
      <c r="E365" s="73" t="s">
        <v>19</v>
      </c>
      <c r="F365" s="75">
        <v>42157</v>
      </c>
      <c r="G365" s="82">
        <f>386.54</f>
        <v>386.54</v>
      </c>
      <c r="H365" s="79"/>
      <c r="I365" s="79"/>
      <c r="J365" s="79"/>
      <c r="K365" s="79"/>
      <c r="L365" s="79"/>
      <c r="M365" s="79"/>
      <c r="N365" s="79"/>
      <c r="O365" s="79"/>
      <c r="P365" s="79"/>
      <c r="Q365" s="79">
        <f t="shared" si="15"/>
        <v>386.54</v>
      </c>
      <c r="R365" s="79">
        <f t="shared" si="16"/>
        <v>0</v>
      </c>
      <c r="S365" s="79">
        <f t="shared" si="17"/>
        <v>386.54</v>
      </c>
    </row>
    <row r="366" spans="1:19" x14ac:dyDescent="0.2">
      <c r="A366" s="102" t="s">
        <v>4810</v>
      </c>
      <c r="B366" s="71" t="s">
        <v>4855</v>
      </c>
      <c r="C366" s="76">
        <v>225</v>
      </c>
      <c r="D366" s="72" t="s">
        <v>4911</v>
      </c>
      <c r="E366" s="73" t="s">
        <v>19</v>
      </c>
      <c r="F366" s="75">
        <v>42158</v>
      </c>
      <c r="G366" s="82">
        <f>159</f>
        <v>159</v>
      </c>
      <c r="H366" s="79"/>
      <c r="I366" s="79"/>
      <c r="J366" s="79"/>
      <c r="K366" s="79"/>
      <c r="L366" s="79"/>
      <c r="M366" s="79"/>
      <c r="N366" s="79"/>
      <c r="O366" s="79"/>
      <c r="P366" s="79"/>
      <c r="Q366" s="79">
        <f t="shared" si="15"/>
        <v>159</v>
      </c>
      <c r="R366" s="79">
        <f t="shared" si="16"/>
        <v>0</v>
      </c>
      <c r="S366" s="79">
        <f t="shared" si="17"/>
        <v>159</v>
      </c>
    </row>
    <row r="367" spans="1:19" x14ac:dyDescent="0.2">
      <c r="A367" s="102" t="s">
        <v>4811</v>
      </c>
      <c r="B367" s="71" t="s">
        <v>4856</v>
      </c>
      <c r="C367" s="76">
        <v>226</v>
      </c>
      <c r="D367" s="72" t="s">
        <v>4912</v>
      </c>
      <c r="E367" s="73" t="s">
        <v>19</v>
      </c>
      <c r="F367" s="75">
        <v>42158</v>
      </c>
      <c r="G367" s="82">
        <f>504.75+161.5</f>
        <v>666.25</v>
      </c>
      <c r="H367" s="79"/>
      <c r="I367" s="79"/>
      <c r="J367" s="79"/>
      <c r="K367" s="79"/>
      <c r="L367" s="79"/>
      <c r="M367" s="79"/>
      <c r="N367" s="79"/>
      <c r="O367" s="79"/>
      <c r="P367" s="79"/>
      <c r="Q367" s="79">
        <f t="shared" si="15"/>
        <v>666.25</v>
      </c>
      <c r="R367" s="79">
        <f t="shared" si="16"/>
        <v>0</v>
      </c>
      <c r="S367" s="79">
        <f t="shared" si="17"/>
        <v>666.25</v>
      </c>
    </row>
    <row r="368" spans="1:19" x14ac:dyDescent="0.2">
      <c r="A368" s="102" t="s">
        <v>4812</v>
      </c>
      <c r="B368" s="71" t="s">
        <v>4857</v>
      </c>
      <c r="C368" s="76">
        <v>227</v>
      </c>
      <c r="D368" s="72" t="s">
        <v>4913</v>
      </c>
      <c r="E368" s="73" t="s">
        <v>19</v>
      </c>
      <c r="F368" s="75">
        <v>42158</v>
      </c>
      <c r="G368" s="82">
        <f>326.51</f>
        <v>326.51</v>
      </c>
      <c r="H368" s="79"/>
      <c r="I368" s="79"/>
      <c r="J368" s="79"/>
      <c r="K368" s="79"/>
      <c r="L368" s="79"/>
      <c r="M368" s="79"/>
      <c r="N368" s="79"/>
      <c r="O368" s="79"/>
      <c r="P368" s="79"/>
      <c r="Q368" s="79">
        <f t="shared" si="15"/>
        <v>326.51</v>
      </c>
      <c r="R368" s="79">
        <f t="shared" si="16"/>
        <v>0</v>
      </c>
      <c r="S368" s="79">
        <f t="shared" si="17"/>
        <v>326.51</v>
      </c>
    </row>
    <row r="369" spans="1:19" x14ac:dyDescent="0.2">
      <c r="A369" s="102" t="s">
        <v>4813</v>
      </c>
      <c r="B369" s="71" t="s">
        <v>4858</v>
      </c>
      <c r="C369" s="76">
        <v>228</v>
      </c>
      <c r="D369" s="72" t="s">
        <v>4914</v>
      </c>
      <c r="E369" s="73" t="s">
        <v>4938</v>
      </c>
      <c r="F369" s="75">
        <v>42160</v>
      </c>
      <c r="G369" s="82">
        <f>274</f>
        <v>274</v>
      </c>
      <c r="H369" s="79"/>
      <c r="I369" s="79"/>
      <c r="J369" s="79"/>
      <c r="K369" s="79"/>
      <c r="L369" s="79"/>
      <c r="M369" s="79"/>
      <c r="N369" s="79"/>
      <c r="O369" s="79"/>
      <c r="P369" s="79"/>
      <c r="Q369" s="79">
        <f t="shared" si="15"/>
        <v>274</v>
      </c>
      <c r="R369" s="79">
        <f t="shared" si="16"/>
        <v>0</v>
      </c>
      <c r="S369" s="79">
        <f t="shared" si="17"/>
        <v>274</v>
      </c>
    </row>
    <row r="370" spans="1:19" x14ac:dyDescent="0.2">
      <c r="A370" s="102" t="s">
        <v>4814</v>
      </c>
      <c r="B370" s="71" t="s">
        <v>4458</v>
      </c>
      <c r="C370" s="76">
        <v>229</v>
      </c>
      <c r="D370" s="73" t="s">
        <v>4915</v>
      </c>
      <c r="E370" s="73" t="s">
        <v>19</v>
      </c>
      <c r="F370" s="75">
        <v>42163</v>
      </c>
      <c r="G370" s="82">
        <f>107.5</f>
        <v>107.5</v>
      </c>
      <c r="H370" s="79"/>
      <c r="I370" s="79"/>
      <c r="J370" s="79"/>
      <c r="K370" s="79"/>
      <c r="L370" s="79"/>
      <c r="M370" s="79"/>
      <c r="N370" s="79"/>
      <c r="O370" s="79"/>
      <c r="P370" s="79"/>
      <c r="Q370" s="79">
        <f t="shared" si="15"/>
        <v>107.5</v>
      </c>
      <c r="R370" s="79">
        <f t="shared" si="16"/>
        <v>0</v>
      </c>
      <c r="S370" s="79">
        <f t="shared" si="17"/>
        <v>107.5</v>
      </c>
    </row>
    <row r="371" spans="1:19" x14ac:dyDescent="0.2">
      <c r="A371" s="102" t="s">
        <v>4081</v>
      </c>
      <c r="B371" s="71" t="s">
        <v>4102</v>
      </c>
      <c r="C371" s="76">
        <v>230</v>
      </c>
      <c r="D371" s="72" t="s">
        <v>4916</v>
      </c>
      <c r="E371" s="73" t="s">
        <v>19</v>
      </c>
      <c r="F371" s="75">
        <v>42163</v>
      </c>
      <c r="G371" s="82">
        <f>78</f>
        <v>78</v>
      </c>
      <c r="H371" s="79"/>
      <c r="I371" s="79"/>
      <c r="J371" s="79"/>
      <c r="K371" s="79"/>
      <c r="L371" s="79"/>
      <c r="M371" s="79"/>
      <c r="N371" s="79"/>
      <c r="O371" s="79"/>
      <c r="P371" s="79"/>
      <c r="Q371" s="79">
        <f t="shared" si="15"/>
        <v>78</v>
      </c>
      <c r="R371" s="79">
        <f t="shared" si="16"/>
        <v>0</v>
      </c>
      <c r="S371" s="79">
        <f t="shared" si="17"/>
        <v>78</v>
      </c>
    </row>
    <row r="372" spans="1:19" x14ac:dyDescent="0.2">
      <c r="A372" s="102" t="s">
        <v>4815</v>
      </c>
      <c r="B372" s="71" t="s">
        <v>4859</v>
      </c>
      <c r="C372" s="76">
        <v>231</v>
      </c>
      <c r="D372" s="72" t="s">
        <v>4917</v>
      </c>
      <c r="E372" s="73" t="s">
        <v>19</v>
      </c>
      <c r="F372" s="75">
        <v>42163</v>
      </c>
      <c r="G372" s="82">
        <f>287.9</f>
        <v>287.89999999999998</v>
      </c>
      <c r="H372" s="79"/>
      <c r="I372" s="79"/>
      <c r="J372" s="79"/>
      <c r="K372" s="79"/>
      <c r="L372" s="79"/>
      <c r="M372" s="79"/>
      <c r="N372" s="79"/>
      <c r="O372" s="79"/>
      <c r="P372" s="79"/>
      <c r="Q372" s="79">
        <f t="shared" si="15"/>
        <v>287.89999999999998</v>
      </c>
      <c r="R372" s="79">
        <f t="shared" si="16"/>
        <v>0</v>
      </c>
      <c r="S372" s="79">
        <f t="shared" si="17"/>
        <v>287.89999999999998</v>
      </c>
    </row>
    <row r="373" spans="1:19" x14ac:dyDescent="0.2">
      <c r="A373" s="102" t="s">
        <v>4816</v>
      </c>
      <c r="B373" s="71" t="s">
        <v>4860</v>
      </c>
      <c r="C373" s="76">
        <v>232</v>
      </c>
      <c r="D373" s="72" t="s">
        <v>4918</v>
      </c>
      <c r="E373" s="73" t="s">
        <v>19</v>
      </c>
      <c r="F373" s="75">
        <v>42164</v>
      </c>
      <c r="G373" s="82">
        <f>70+236+254.59+335+41.3+335+300+41.3+365+17.6+345+345</f>
        <v>2685.79</v>
      </c>
      <c r="H373" s="79"/>
      <c r="I373" s="79">
        <v>500</v>
      </c>
      <c r="J373" s="79"/>
      <c r="K373" s="79"/>
      <c r="L373" s="79"/>
      <c r="M373" s="79"/>
      <c r="N373" s="79"/>
      <c r="O373" s="79"/>
      <c r="P373" s="79"/>
      <c r="Q373" s="79">
        <f t="shared" si="15"/>
        <v>3185.79</v>
      </c>
      <c r="R373" s="79">
        <f t="shared" si="16"/>
        <v>0</v>
      </c>
      <c r="S373" s="79">
        <f t="shared" si="17"/>
        <v>3185.79</v>
      </c>
    </row>
    <row r="374" spans="1:19" x14ac:dyDescent="0.2">
      <c r="A374" s="102" t="s">
        <v>4816</v>
      </c>
      <c r="B374" s="71" t="s">
        <v>4860</v>
      </c>
      <c r="C374" s="76">
        <v>232</v>
      </c>
      <c r="D374" s="72" t="s">
        <v>4919</v>
      </c>
      <c r="E374" s="73" t="s">
        <v>19</v>
      </c>
      <c r="F374" s="75">
        <v>42164</v>
      </c>
      <c r="G374" s="82">
        <f>116.82</f>
        <v>116.82</v>
      </c>
      <c r="H374" s="79"/>
      <c r="I374" s="79"/>
      <c r="J374" s="79"/>
      <c r="K374" s="79"/>
      <c r="L374" s="79"/>
      <c r="M374" s="79"/>
      <c r="N374" s="79"/>
      <c r="O374" s="79"/>
      <c r="P374" s="79"/>
      <c r="Q374" s="79">
        <f t="shared" si="15"/>
        <v>116.82</v>
      </c>
      <c r="R374" s="79">
        <f t="shared" si="16"/>
        <v>0</v>
      </c>
      <c r="S374" s="79">
        <f t="shared" si="17"/>
        <v>116.82</v>
      </c>
    </row>
    <row r="375" spans="1:19" x14ac:dyDescent="0.2">
      <c r="A375" s="102" t="s">
        <v>4817</v>
      </c>
      <c r="B375" s="71" t="s">
        <v>4861</v>
      </c>
      <c r="C375" s="76">
        <v>233</v>
      </c>
      <c r="D375" s="72" t="s">
        <v>4920</v>
      </c>
      <c r="E375" s="73" t="s">
        <v>19</v>
      </c>
      <c r="F375" s="75">
        <v>42165</v>
      </c>
      <c r="G375" s="82">
        <f>84.56</f>
        <v>84.56</v>
      </c>
      <c r="H375" s="79"/>
      <c r="I375" s="79"/>
      <c r="J375" s="79"/>
      <c r="K375" s="79"/>
      <c r="L375" s="79"/>
      <c r="M375" s="79"/>
      <c r="N375" s="79"/>
      <c r="O375" s="79"/>
      <c r="P375" s="79"/>
      <c r="Q375" s="79">
        <f t="shared" si="15"/>
        <v>84.56</v>
      </c>
      <c r="R375" s="79">
        <f t="shared" si="16"/>
        <v>0</v>
      </c>
      <c r="S375" s="79">
        <f t="shared" si="17"/>
        <v>84.56</v>
      </c>
    </row>
    <row r="376" spans="1:19" x14ac:dyDescent="0.2">
      <c r="A376" s="102" t="s">
        <v>4818</v>
      </c>
      <c r="B376" s="71" t="s">
        <v>4862</v>
      </c>
      <c r="C376" s="76">
        <v>234</v>
      </c>
      <c r="D376" s="72" t="s">
        <v>4921</v>
      </c>
      <c r="E376" s="73" t="s">
        <v>19</v>
      </c>
      <c r="F376" s="75">
        <v>42167</v>
      </c>
      <c r="G376" s="82">
        <f>145.56+320+147</f>
        <v>612.55999999999995</v>
      </c>
      <c r="H376" s="79"/>
      <c r="I376" s="79">
        <f>2250</f>
        <v>2250</v>
      </c>
      <c r="J376" s="79"/>
      <c r="K376" s="79"/>
      <c r="L376" s="79"/>
      <c r="M376" s="79"/>
      <c r="N376" s="79"/>
      <c r="O376" s="79"/>
      <c r="P376" s="79"/>
      <c r="Q376" s="79">
        <f t="shared" si="15"/>
        <v>2862.56</v>
      </c>
      <c r="R376" s="79">
        <f t="shared" si="16"/>
        <v>0</v>
      </c>
      <c r="S376" s="79">
        <f t="shared" si="17"/>
        <v>2862.56</v>
      </c>
    </row>
    <row r="377" spans="1:19" x14ac:dyDescent="0.2">
      <c r="A377" s="102" t="s">
        <v>4819</v>
      </c>
      <c r="B377" s="71" t="s">
        <v>4863</v>
      </c>
      <c r="C377" s="76">
        <v>235</v>
      </c>
      <c r="D377" s="72" t="s">
        <v>4922</v>
      </c>
      <c r="E377" s="73" t="s">
        <v>19</v>
      </c>
      <c r="F377" s="75">
        <v>42167</v>
      </c>
      <c r="G377" s="82">
        <f>117.3</f>
        <v>117.3</v>
      </c>
      <c r="H377" s="79"/>
      <c r="I377" s="79"/>
      <c r="J377" s="79"/>
      <c r="K377" s="79"/>
      <c r="L377" s="79"/>
      <c r="M377" s="79"/>
      <c r="N377" s="79"/>
      <c r="O377" s="79"/>
      <c r="P377" s="79"/>
      <c r="Q377" s="79">
        <f t="shared" si="15"/>
        <v>117.3</v>
      </c>
      <c r="R377" s="79">
        <f t="shared" si="16"/>
        <v>0</v>
      </c>
      <c r="S377" s="79">
        <f t="shared" si="17"/>
        <v>117.3</v>
      </c>
    </row>
    <row r="378" spans="1:19" x14ac:dyDescent="0.2">
      <c r="A378" s="102" t="s">
        <v>4819</v>
      </c>
      <c r="B378" s="71" t="s">
        <v>4863</v>
      </c>
      <c r="C378" s="76">
        <v>235</v>
      </c>
      <c r="D378" s="72" t="s">
        <v>4923</v>
      </c>
      <c r="E378" s="73" t="s">
        <v>19</v>
      </c>
      <c r="F378" s="75">
        <v>42167</v>
      </c>
      <c r="G378" s="82">
        <f>115</f>
        <v>115</v>
      </c>
      <c r="H378" s="79"/>
      <c r="I378" s="79"/>
      <c r="J378" s="79"/>
      <c r="K378" s="79"/>
      <c r="L378" s="79"/>
      <c r="M378" s="79"/>
      <c r="N378" s="79"/>
      <c r="O378" s="79"/>
      <c r="P378" s="79"/>
      <c r="Q378" s="79">
        <f t="shared" si="15"/>
        <v>115</v>
      </c>
      <c r="R378" s="79">
        <f t="shared" si="16"/>
        <v>0</v>
      </c>
      <c r="S378" s="79">
        <f t="shared" si="17"/>
        <v>115</v>
      </c>
    </row>
    <row r="379" spans="1:19" x14ac:dyDescent="0.2">
      <c r="A379" s="102" t="s">
        <v>4819</v>
      </c>
      <c r="B379" s="71" t="s">
        <v>4863</v>
      </c>
      <c r="C379" s="76">
        <v>235</v>
      </c>
      <c r="D379" s="72" t="s">
        <v>4924</v>
      </c>
      <c r="E379" s="73" t="s">
        <v>19</v>
      </c>
      <c r="F379" s="75">
        <v>42167</v>
      </c>
      <c r="G379" s="82">
        <f>156.26+180.56+208.41+139.01+178.27+236.6+139.01</f>
        <v>1238.1199999999999</v>
      </c>
      <c r="H379" s="79"/>
      <c r="I379" s="79">
        <f>2300</f>
        <v>2300</v>
      </c>
      <c r="J379" s="79"/>
      <c r="K379" s="79"/>
      <c r="L379" s="79"/>
      <c r="M379" s="79"/>
      <c r="N379" s="79"/>
      <c r="O379" s="79"/>
      <c r="P379" s="79"/>
      <c r="Q379" s="79">
        <f t="shared" si="15"/>
        <v>3538.12</v>
      </c>
      <c r="R379" s="79">
        <f t="shared" si="16"/>
        <v>0</v>
      </c>
      <c r="S379" s="79">
        <f t="shared" si="17"/>
        <v>3538.12</v>
      </c>
    </row>
    <row r="380" spans="1:19" x14ac:dyDescent="0.2">
      <c r="A380" s="102" t="s">
        <v>4820</v>
      </c>
      <c r="B380" s="71" t="s">
        <v>4864</v>
      </c>
      <c r="C380" s="76">
        <v>236</v>
      </c>
      <c r="D380" s="72" t="s">
        <v>4925</v>
      </c>
      <c r="E380" s="73" t="s">
        <v>19</v>
      </c>
      <c r="F380" s="75">
        <v>42168</v>
      </c>
      <c r="G380" s="82">
        <f>1142.27</f>
        <v>1142.27</v>
      </c>
      <c r="H380" s="79"/>
      <c r="I380" s="79"/>
      <c r="J380" s="79"/>
      <c r="K380" s="79"/>
      <c r="L380" s="79"/>
      <c r="M380" s="79"/>
      <c r="N380" s="79"/>
      <c r="O380" s="79"/>
      <c r="P380" s="79"/>
      <c r="Q380" s="79">
        <f t="shared" si="15"/>
        <v>1142.27</v>
      </c>
      <c r="R380" s="79">
        <f t="shared" si="16"/>
        <v>0</v>
      </c>
      <c r="S380" s="79">
        <f t="shared" si="17"/>
        <v>1142.27</v>
      </c>
    </row>
    <row r="381" spans="1:19" x14ac:dyDescent="0.2">
      <c r="A381" s="103" t="s">
        <v>4821</v>
      </c>
      <c r="B381" s="90" t="s">
        <v>4865</v>
      </c>
      <c r="C381" s="104">
        <v>237</v>
      </c>
      <c r="D381" s="91" t="s">
        <v>4926</v>
      </c>
      <c r="E381" s="91" t="s">
        <v>2068</v>
      </c>
      <c r="F381" s="92">
        <v>42167</v>
      </c>
      <c r="G381" s="82">
        <f>92.72</f>
        <v>92.72</v>
      </c>
      <c r="H381" s="79"/>
      <c r="I381" s="79"/>
      <c r="J381" s="79"/>
      <c r="K381" s="79"/>
      <c r="L381" s="79"/>
      <c r="M381" s="79"/>
      <c r="N381" s="79"/>
      <c r="O381" s="79"/>
      <c r="P381" s="79"/>
      <c r="Q381" s="79">
        <f t="shared" si="15"/>
        <v>92.72</v>
      </c>
      <c r="R381" s="79">
        <f t="shared" si="16"/>
        <v>0</v>
      </c>
      <c r="S381" s="79">
        <f t="shared" si="17"/>
        <v>92.72</v>
      </c>
    </row>
    <row r="382" spans="1:19" x14ac:dyDescent="0.2">
      <c r="A382" s="103" t="s">
        <v>4821</v>
      </c>
      <c r="B382" s="90" t="s">
        <v>4865</v>
      </c>
      <c r="C382" s="104">
        <v>237</v>
      </c>
      <c r="D382" s="91" t="s">
        <v>4927</v>
      </c>
      <c r="E382" s="91" t="s">
        <v>2068</v>
      </c>
      <c r="F382" s="92">
        <v>42167</v>
      </c>
      <c r="G382" s="82">
        <f>117.01</f>
        <v>117.01</v>
      </c>
      <c r="H382" s="79"/>
      <c r="I382" s="79"/>
      <c r="J382" s="79"/>
      <c r="K382" s="79"/>
      <c r="L382" s="79"/>
      <c r="M382" s="79"/>
      <c r="N382" s="79"/>
      <c r="O382" s="79"/>
      <c r="P382" s="79"/>
      <c r="Q382" s="79">
        <f t="shared" si="15"/>
        <v>117.01</v>
      </c>
      <c r="R382" s="79">
        <f t="shared" si="16"/>
        <v>0</v>
      </c>
      <c r="S382" s="79">
        <f t="shared" si="17"/>
        <v>117.01</v>
      </c>
    </row>
    <row r="383" spans="1:19" x14ac:dyDescent="0.2">
      <c r="A383" s="102" t="s">
        <v>4822</v>
      </c>
      <c r="B383" s="71" t="s">
        <v>4866</v>
      </c>
      <c r="C383" s="76">
        <v>238</v>
      </c>
      <c r="D383" s="73" t="s">
        <v>4928</v>
      </c>
      <c r="E383" s="73" t="s">
        <v>19</v>
      </c>
      <c r="F383" s="75">
        <v>42170</v>
      </c>
      <c r="G383" s="82">
        <f>357.8+282.47+241.7+254.26+201.02+51.89+41.3+41.3</f>
        <v>1471.74</v>
      </c>
      <c r="H383" s="79"/>
      <c r="I383" s="79">
        <v>1500</v>
      </c>
      <c r="J383" s="79"/>
      <c r="K383" s="79"/>
      <c r="L383" s="79"/>
      <c r="M383" s="79"/>
      <c r="N383" s="79"/>
      <c r="O383" s="79"/>
      <c r="P383" s="79"/>
      <c r="Q383" s="79">
        <f t="shared" si="15"/>
        <v>2971.74</v>
      </c>
      <c r="R383" s="79">
        <f t="shared" si="16"/>
        <v>0</v>
      </c>
      <c r="S383" s="79">
        <f t="shared" si="17"/>
        <v>2971.74</v>
      </c>
    </row>
    <row r="384" spans="1:19" x14ac:dyDescent="0.2">
      <c r="A384" s="102" t="s">
        <v>4822</v>
      </c>
      <c r="B384" s="71" t="s">
        <v>4866</v>
      </c>
      <c r="C384" s="76">
        <v>238</v>
      </c>
      <c r="D384" s="73" t="s">
        <v>5399</v>
      </c>
      <c r="E384" s="73" t="s">
        <v>19</v>
      </c>
      <c r="F384" s="75">
        <v>42170</v>
      </c>
      <c r="G384" s="82">
        <f>464.6+212.85+41.3+119.73+119.73+1747.44+144.51+41.3+180.56+288.68+119.73+41.3+180.56+41.3+41.3+41.3+261.3</f>
        <v>4087.4900000000007</v>
      </c>
      <c r="H384" s="79"/>
      <c r="I384" s="79">
        <v>3850</v>
      </c>
      <c r="J384" s="79"/>
      <c r="K384" s="79"/>
      <c r="L384" s="79"/>
      <c r="M384" s="79"/>
      <c r="N384" s="79"/>
      <c r="O384" s="79"/>
      <c r="P384" s="79"/>
      <c r="Q384" s="79">
        <f t="shared" si="15"/>
        <v>7937.4900000000007</v>
      </c>
      <c r="R384" s="79">
        <f t="shared" si="16"/>
        <v>0</v>
      </c>
      <c r="S384" s="79">
        <f t="shared" si="17"/>
        <v>7937.4900000000007</v>
      </c>
    </row>
    <row r="385" spans="1:19" x14ac:dyDescent="0.2">
      <c r="A385" s="102" t="s">
        <v>4823</v>
      </c>
      <c r="B385" s="71" t="s">
        <v>4867</v>
      </c>
      <c r="C385" s="76">
        <v>239</v>
      </c>
      <c r="D385" s="73" t="s">
        <v>4929</v>
      </c>
      <c r="E385" s="73" t="s">
        <v>4939</v>
      </c>
      <c r="F385" s="75">
        <v>42170</v>
      </c>
      <c r="G385" s="82">
        <f>122.07</f>
        <v>122.07</v>
      </c>
      <c r="H385" s="79"/>
      <c r="I385" s="79"/>
      <c r="J385" s="79"/>
      <c r="K385" s="79"/>
      <c r="L385" s="79"/>
      <c r="M385" s="79"/>
      <c r="N385" s="79"/>
      <c r="O385" s="79"/>
      <c r="P385" s="79"/>
      <c r="Q385" s="79">
        <f t="shared" si="15"/>
        <v>122.07</v>
      </c>
      <c r="R385" s="79">
        <f t="shared" si="16"/>
        <v>0</v>
      </c>
      <c r="S385" s="79">
        <f t="shared" si="17"/>
        <v>122.07</v>
      </c>
    </row>
    <row r="386" spans="1:19" x14ac:dyDescent="0.2">
      <c r="A386" s="102" t="s">
        <v>4824</v>
      </c>
      <c r="B386" s="71" t="s">
        <v>4868</v>
      </c>
      <c r="C386" s="76">
        <v>240</v>
      </c>
      <c r="D386" s="73" t="s">
        <v>4930</v>
      </c>
      <c r="E386" s="73" t="s">
        <v>4939</v>
      </c>
      <c r="F386" s="75">
        <v>42170</v>
      </c>
      <c r="G386" s="82">
        <f>93.57</f>
        <v>93.57</v>
      </c>
      <c r="H386" s="79"/>
      <c r="I386" s="79"/>
      <c r="J386" s="79"/>
      <c r="K386" s="79"/>
      <c r="L386" s="79"/>
      <c r="M386" s="79"/>
      <c r="N386" s="79"/>
      <c r="O386" s="79"/>
      <c r="P386" s="79"/>
      <c r="Q386" s="79">
        <f t="shared" si="15"/>
        <v>93.57</v>
      </c>
      <c r="R386" s="79">
        <f t="shared" si="16"/>
        <v>0</v>
      </c>
      <c r="S386" s="79">
        <f t="shared" si="17"/>
        <v>93.57</v>
      </c>
    </row>
    <row r="387" spans="1:19" x14ac:dyDescent="0.2">
      <c r="A387" s="102" t="s">
        <v>4825</v>
      </c>
      <c r="B387" s="71" t="s">
        <v>4869</v>
      </c>
      <c r="C387" s="76">
        <v>241</v>
      </c>
      <c r="D387" s="73" t="s">
        <v>4931</v>
      </c>
      <c r="E387" s="73" t="s">
        <v>4939</v>
      </c>
      <c r="F387" s="75">
        <v>42140</v>
      </c>
      <c r="G387" s="82">
        <f>48</f>
        <v>48</v>
      </c>
      <c r="H387" s="79"/>
      <c r="I387" s="79"/>
      <c r="J387" s="79"/>
      <c r="K387" s="79"/>
      <c r="L387" s="79"/>
      <c r="M387" s="79"/>
      <c r="N387" s="79"/>
      <c r="O387" s="79"/>
      <c r="P387" s="79"/>
      <c r="Q387" s="79">
        <f t="shared" si="15"/>
        <v>48</v>
      </c>
      <c r="R387" s="79">
        <f t="shared" si="16"/>
        <v>0</v>
      </c>
      <c r="S387" s="79">
        <f t="shared" si="17"/>
        <v>48</v>
      </c>
    </row>
    <row r="388" spans="1:19" x14ac:dyDescent="0.2">
      <c r="A388" s="102" t="s">
        <v>4826</v>
      </c>
      <c r="B388" s="71" t="s">
        <v>4870</v>
      </c>
      <c r="C388" s="76">
        <v>242</v>
      </c>
      <c r="D388" s="73" t="s">
        <v>4932</v>
      </c>
      <c r="E388" s="73" t="s">
        <v>4939</v>
      </c>
      <c r="F388" s="75">
        <v>42171</v>
      </c>
      <c r="G388" s="82">
        <f>238+456.1+160+169.25+520.06</f>
        <v>1543.4099999999999</v>
      </c>
      <c r="H388" s="79"/>
      <c r="I388" s="79">
        <f>375</f>
        <v>375</v>
      </c>
      <c r="J388" s="79"/>
      <c r="K388" s="79"/>
      <c r="L388" s="79"/>
      <c r="M388" s="79"/>
      <c r="N388" s="79"/>
      <c r="O388" s="79"/>
      <c r="P388" s="79"/>
      <c r="Q388" s="79">
        <f t="shared" si="15"/>
        <v>1918.4099999999999</v>
      </c>
      <c r="R388" s="79">
        <f t="shared" si="16"/>
        <v>0</v>
      </c>
      <c r="S388" s="79">
        <f t="shared" si="17"/>
        <v>1918.4099999999999</v>
      </c>
    </row>
    <row r="389" spans="1:19" x14ac:dyDescent="0.2">
      <c r="A389" s="102" t="s">
        <v>4827</v>
      </c>
      <c r="B389" s="71" t="s">
        <v>4871</v>
      </c>
      <c r="C389" s="76">
        <v>243</v>
      </c>
      <c r="D389" s="72" t="s">
        <v>4933</v>
      </c>
      <c r="E389" s="73" t="s">
        <v>19</v>
      </c>
      <c r="F389" s="75">
        <v>42172</v>
      </c>
      <c r="G389" s="82">
        <f>120.35+280+725.78+1816.2+246.51</f>
        <v>3188.84</v>
      </c>
      <c r="H389" s="79"/>
      <c r="I389" s="79"/>
      <c r="J389" s="79"/>
      <c r="K389" s="79"/>
      <c r="L389" s="79"/>
      <c r="M389" s="79"/>
      <c r="N389" s="79"/>
      <c r="O389" s="79"/>
      <c r="P389" s="79"/>
      <c r="Q389" s="79">
        <f t="shared" si="15"/>
        <v>3188.84</v>
      </c>
      <c r="R389" s="79">
        <f t="shared" si="16"/>
        <v>0</v>
      </c>
      <c r="S389" s="79">
        <f t="shared" si="17"/>
        <v>3188.84</v>
      </c>
    </row>
    <row r="390" spans="1:19" x14ac:dyDescent="0.2">
      <c r="A390" s="102" t="s">
        <v>4828</v>
      </c>
      <c r="B390" s="71" t="s">
        <v>4872</v>
      </c>
      <c r="C390" s="76">
        <v>244</v>
      </c>
      <c r="D390" s="72" t="s">
        <v>4934</v>
      </c>
      <c r="E390" s="73" t="s">
        <v>19</v>
      </c>
      <c r="F390" s="75">
        <v>42173</v>
      </c>
      <c r="G390" s="82">
        <f>170.54</f>
        <v>170.54</v>
      </c>
      <c r="H390" s="79"/>
      <c r="I390" s="79"/>
      <c r="J390" s="79"/>
      <c r="K390" s="79"/>
      <c r="L390" s="79"/>
      <c r="M390" s="79"/>
      <c r="N390" s="79"/>
      <c r="O390" s="79"/>
      <c r="P390" s="79"/>
      <c r="Q390" s="79">
        <f t="shared" si="15"/>
        <v>170.54</v>
      </c>
      <c r="R390" s="79">
        <f t="shared" si="16"/>
        <v>0</v>
      </c>
      <c r="S390" s="79">
        <f t="shared" si="17"/>
        <v>170.54</v>
      </c>
    </row>
    <row r="391" spans="1:19" x14ac:dyDescent="0.2">
      <c r="A391" s="102" t="s">
        <v>4828</v>
      </c>
      <c r="B391" s="71" t="s">
        <v>4872</v>
      </c>
      <c r="C391" s="76">
        <v>244</v>
      </c>
      <c r="D391" s="72" t="s">
        <v>4935</v>
      </c>
      <c r="E391" s="73" t="s">
        <v>19</v>
      </c>
      <c r="F391" s="75">
        <v>42173</v>
      </c>
      <c r="G391" s="82">
        <f>239.57</f>
        <v>239.57</v>
      </c>
      <c r="H391" s="79"/>
      <c r="I391" s="79"/>
      <c r="J391" s="79"/>
      <c r="K391" s="79"/>
      <c r="L391" s="79"/>
      <c r="M391" s="79"/>
      <c r="N391" s="79"/>
      <c r="O391" s="79"/>
      <c r="P391" s="79"/>
      <c r="Q391" s="79">
        <f t="shared" si="15"/>
        <v>239.57</v>
      </c>
      <c r="R391" s="79">
        <f t="shared" si="16"/>
        <v>0</v>
      </c>
      <c r="S391" s="79">
        <f t="shared" si="17"/>
        <v>239.57</v>
      </c>
    </row>
    <row r="392" spans="1:19" x14ac:dyDescent="0.2">
      <c r="A392" s="102" t="s">
        <v>4828</v>
      </c>
      <c r="B392" s="71" t="s">
        <v>4872</v>
      </c>
      <c r="C392" s="76">
        <v>244</v>
      </c>
      <c r="D392" s="72" t="s">
        <v>4936</v>
      </c>
      <c r="E392" s="73" t="s">
        <v>19</v>
      </c>
      <c r="F392" s="75">
        <v>42173</v>
      </c>
      <c r="G392" s="82">
        <f>72.82</f>
        <v>72.819999999999993</v>
      </c>
      <c r="H392" s="79"/>
      <c r="I392" s="79"/>
      <c r="J392" s="79"/>
      <c r="K392" s="79"/>
      <c r="L392" s="79"/>
      <c r="M392" s="79"/>
      <c r="N392" s="79"/>
      <c r="O392" s="79"/>
      <c r="P392" s="79"/>
      <c r="Q392" s="79">
        <f t="shared" ref="Q392:Q455" si="18">+G392+I392+K392+M392+O392</f>
        <v>72.819999999999993</v>
      </c>
      <c r="R392" s="79">
        <f t="shared" ref="R392:R455" si="19">+H392+J392+L392+N392+P392</f>
        <v>0</v>
      </c>
      <c r="S392" s="79">
        <f t="shared" ref="S392:S455" si="20">+Q392+R392</f>
        <v>72.819999999999993</v>
      </c>
    </row>
    <row r="393" spans="1:19" x14ac:dyDescent="0.2">
      <c r="A393" s="102" t="s">
        <v>4829</v>
      </c>
      <c r="B393" s="71" t="s">
        <v>4873</v>
      </c>
      <c r="C393" s="76">
        <v>245</v>
      </c>
      <c r="D393" s="72" t="s">
        <v>4937</v>
      </c>
      <c r="E393" s="73" t="s">
        <v>19</v>
      </c>
      <c r="F393" s="75">
        <v>42173</v>
      </c>
      <c r="G393" s="82">
        <f>328.67</f>
        <v>328.67</v>
      </c>
      <c r="H393" s="79"/>
      <c r="I393" s="79"/>
      <c r="J393" s="79"/>
      <c r="K393" s="79"/>
      <c r="L393" s="79"/>
      <c r="M393" s="79"/>
      <c r="N393" s="79"/>
      <c r="O393" s="79"/>
      <c r="P393" s="79"/>
      <c r="Q393" s="79">
        <f t="shared" si="18"/>
        <v>328.67</v>
      </c>
      <c r="R393" s="79">
        <f t="shared" si="19"/>
        <v>0</v>
      </c>
      <c r="S393" s="79">
        <f t="shared" si="20"/>
        <v>328.67</v>
      </c>
    </row>
    <row r="394" spans="1:19" x14ac:dyDescent="0.2">
      <c r="A394" s="102" t="s">
        <v>4957</v>
      </c>
      <c r="B394" s="71" t="s">
        <v>4992</v>
      </c>
      <c r="C394" s="76">
        <v>246</v>
      </c>
      <c r="D394" s="72" t="s">
        <v>5025</v>
      </c>
      <c r="E394" s="73" t="s">
        <v>19</v>
      </c>
      <c r="F394" s="75">
        <v>42175</v>
      </c>
      <c r="G394" s="82">
        <f>15637.9</f>
        <v>15637.9</v>
      </c>
      <c r="H394" s="79"/>
      <c r="I394" s="79">
        <f>2250</f>
        <v>2250</v>
      </c>
      <c r="J394" s="79"/>
      <c r="K394" s="79"/>
      <c r="L394" s="79"/>
      <c r="M394" s="79"/>
      <c r="N394" s="79"/>
      <c r="O394" s="79"/>
      <c r="P394" s="79"/>
      <c r="Q394" s="79">
        <f t="shared" si="18"/>
        <v>17887.900000000001</v>
      </c>
      <c r="R394" s="79">
        <f t="shared" si="19"/>
        <v>0</v>
      </c>
      <c r="S394" s="79">
        <f t="shared" si="20"/>
        <v>17887.900000000001</v>
      </c>
    </row>
    <row r="395" spans="1:19" x14ac:dyDescent="0.2">
      <c r="A395" s="102" t="s">
        <v>4958</v>
      </c>
      <c r="B395" s="71" t="s">
        <v>4993</v>
      </c>
      <c r="C395" s="76">
        <v>247</v>
      </c>
      <c r="D395" s="72" t="s">
        <v>5026</v>
      </c>
      <c r="E395" s="73" t="s">
        <v>19</v>
      </c>
      <c r="F395" s="75">
        <v>42175</v>
      </c>
      <c r="G395" s="82">
        <f>3745.38+41.3+169.08+205+41.3+63+169.48+561.48</f>
        <v>4996.0200000000004</v>
      </c>
      <c r="H395" s="79"/>
      <c r="I395" s="79"/>
      <c r="J395" s="79"/>
      <c r="K395" s="79"/>
      <c r="L395" s="79"/>
      <c r="M395" s="79"/>
      <c r="N395" s="79"/>
      <c r="O395" s="79"/>
      <c r="P395" s="79"/>
      <c r="Q395" s="79">
        <f t="shared" si="18"/>
        <v>4996.0200000000004</v>
      </c>
      <c r="R395" s="79">
        <f t="shared" si="19"/>
        <v>0</v>
      </c>
      <c r="S395" s="79">
        <f t="shared" si="20"/>
        <v>4996.0200000000004</v>
      </c>
    </row>
    <row r="396" spans="1:19" x14ac:dyDescent="0.2">
      <c r="A396" s="102" t="s">
        <v>4959</v>
      </c>
      <c r="B396" s="71" t="s">
        <v>4994</v>
      </c>
      <c r="C396" s="76">
        <v>248</v>
      </c>
      <c r="D396" s="72" t="s">
        <v>5027</v>
      </c>
      <c r="E396" s="73" t="s">
        <v>19</v>
      </c>
      <c r="F396" s="75">
        <v>42175</v>
      </c>
      <c r="G396" s="82">
        <f>47.2+233.95+1872.57+170.51+135.58+155+436.6+53.1+64.9+613.6+436.6</f>
        <v>4219.6099999999997</v>
      </c>
      <c r="H396" s="79"/>
      <c r="I396" s="79">
        <f>1500+750+750</f>
        <v>3000</v>
      </c>
      <c r="J396" s="79"/>
      <c r="K396" s="79"/>
      <c r="L396" s="79"/>
      <c r="M396" s="79"/>
      <c r="N396" s="79"/>
      <c r="O396" s="79"/>
      <c r="P396" s="79"/>
      <c r="Q396" s="79">
        <f t="shared" si="18"/>
        <v>7219.61</v>
      </c>
      <c r="R396" s="79">
        <f t="shared" si="19"/>
        <v>0</v>
      </c>
      <c r="S396" s="79">
        <f t="shared" si="20"/>
        <v>7219.61</v>
      </c>
    </row>
    <row r="397" spans="1:19" x14ac:dyDescent="0.2">
      <c r="A397" s="102" t="s">
        <v>4960</v>
      </c>
      <c r="B397" s="71" t="s">
        <v>4995</v>
      </c>
      <c r="C397" s="76">
        <v>249</v>
      </c>
      <c r="D397" s="72" t="s">
        <v>5028</v>
      </c>
      <c r="E397" s="73" t="s">
        <v>19</v>
      </c>
      <c r="F397" s="75">
        <v>42177</v>
      </c>
      <c r="G397" s="82">
        <f>171.22+419.37</f>
        <v>590.59</v>
      </c>
      <c r="H397" s="79"/>
      <c r="I397" s="79"/>
      <c r="J397" s="79"/>
      <c r="K397" s="79"/>
      <c r="L397" s="79"/>
      <c r="M397" s="79"/>
      <c r="N397" s="79"/>
      <c r="O397" s="79"/>
      <c r="P397" s="79"/>
      <c r="Q397" s="79">
        <f t="shared" si="18"/>
        <v>590.59</v>
      </c>
      <c r="R397" s="79">
        <f t="shared" si="19"/>
        <v>0</v>
      </c>
      <c r="S397" s="79">
        <f t="shared" si="20"/>
        <v>590.59</v>
      </c>
    </row>
    <row r="398" spans="1:19" x14ac:dyDescent="0.2">
      <c r="A398" s="102" t="s">
        <v>4961</v>
      </c>
      <c r="B398" s="71" t="s">
        <v>4996</v>
      </c>
      <c r="C398" s="76">
        <v>250</v>
      </c>
      <c r="D398" s="72" t="s">
        <v>5029</v>
      </c>
      <c r="E398" s="73" t="s">
        <v>19</v>
      </c>
      <c r="F398" s="75">
        <v>42177</v>
      </c>
      <c r="G398" s="82">
        <f>104.4</f>
        <v>104.4</v>
      </c>
      <c r="H398" s="79"/>
      <c r="I398" s="79"/>
      <c r="J398" s="79"/>
      <c r="K398" s="79"/>
      <c r="L398" s="79"/>
      <c r="M398" s="79"/>
      <c r="N398" s="79"/>
      <c r="O398" s="79"/>
      <c r="P398" s="79"/>
      <c r="Q398" s="79">
        <f t="shared" si="18"/>
        <v>104.4</v>
      </c>
      <c r="R398" s="79">
        <f t="shared" si="19"/>
        <v>0</v>
      </c>
      <c r="S398" s="79">
        <f t="shared" si="20"/>
        <v>104.4</v>
      </c>
    </row>
    <row r="399" spans="1:19" x14ac:dyDescent="0.2">
      <c r="A399" s="102" t="s">
        <v>4962</v>
      </c>
      <c r="B399" s="71" t="s">
        <v>4997</v>
      </c>
      <c r="C399" s="76">
        <v>251</v>
      </c>
      <c r="D399" s="72" t="s">
        <v>5030</v>
      </c>
      <c r="E399" s="73" t="s">
        <v>19</v>
      </c>
      <c r="F399" s="75">
        <v>42177</v>
      </c>
      <c r="G399" s="82">
        <f>50</f>
        <v>50</v>
      </c>
      <c r="H399" s="79"/>
      <c r="I399" s="79"/>
      <c r="J399" s="79"/>
      <c r="K399" s="79"/>
      <c r="L399" s="79"/>
      <c r="M399" s="79"/>
      <c r="N399" s="79"/>
      <c r="O399" s="79"/>
      <c r="P399" s="79"/>
      <c r="Q399" s="79">
        <f t="shared" si="18"/>
        <v>50</v>
      </c>
      <c r="R399" s="79">
        <f t="shared" si="19"/>
        <v>0</v>
      </c>
      <c r="S399" s="79">
        <f t="shared" si="20"/>
        <v>50</v>
      </c>
    </row>
    <row r="400" spans="1:19" x14ac:dyDescent="0.2">
      <c r="A400" s="102" t="s">
        <v>4962</v>
      </c>
      <c r="B400" s="71" t="s">
        <v>4997</v>
      </c>
      <c r="C400" s="76">
        <v>251</v>
      </c>
      <c r="D400" s="72" t="s">
        <v>5031</v>
      </c>
      <c r="E400" s="73" t="s">
        <v>19</v>
      </c>
      <c r="F400" s="75">
        <v>42177</v>
      </c>
      <c r="G400" s="82">
        <f>42</f>
        <v>42</v>
      </c>
      <c r="H400" s="79"/>
      <c r="I400" s="79"/>
      <c r="J400" s="79"/>
      <c r="K400" s="79"/>
      <c r="L400" s="79"/>
      <c r="M400" s="79"/>
      <c r="N400" s="79"/>
      <c r="O400" s="79"/>
      <c r="P400" s="79"/>
      <c r="Q400" s="79">
        <f t="shared" si="18"/>
        <v>42</v>
      </c>
      <c r="R400" s="79">
        <f t="shared" si="19"/>
        <v>0</v>
      </c>
      <c r="S400" s="79">
        <f t="shared" si="20"/>
        <v>42</v>
      </c>
    </row>
    <row r="401" spans="1:19" x14ac:dyDescent="0.2">
      <c r="A401" s="102" t="s">
        <v>4962</v>
      </c>
      <c r="B401" s="71" t="s">
        <v>4997</v>
      </c>
      <c r="C401" s="76">
        <v>251</v>
      </c>
      <c r="D401" s="72" t="s">
        <v>5032</v>
      </c>
      <c r="E401" s="73" t="s">
        <v>19</v>
      </c>
      <c r="F401" s="75">
        <v>42177</v>
      </c>
      <c r="G401" s="82">
        <f>42</f>
        <v>42</v>
      </c>
      <c r="H401" s="79"/>
      <c r="I401" s="79"/>
      <c r="J401" s="79"/>
      <c r="K401" s="79"/>
      <c r="L401" s="79"/>
      <c r="M401" s="79"/>
      <c r="N401" s="79"/>
      <c r="O401" s="79"/>
      <c r="P401" s="79"/>
      <c r="Q401" s="79">
        <f t="shared" si="18"/>
        <v>42</v>
      </c>
      <c r="R401" s="79">
        <f t="shared" si="19"/>
        <v>0</v>
      </c>
      <c r="S401" s="79">
        <f t="shared" si="20"/>
        <v>42</v>
      </c>
    </row>
    <row r="402" spans="1:19" x14ac:dyDescent="0.2">
      <c r="A402" s="102" t="s">
        <v>4962</v>
      </c>
      <c r="B402" s="71" t="s">
        <v>4997</v>
      </c>
      <c r="C402" s="76">
        <v>251</v>
      </c>
      <c r="D402" s="72" t="s">
        <v>5033</v>
      </c>
      <c r="E402" s="73" t="s">
        <v>19</v>
      </c>
      <c r="F402" s="75">
        <v>42177</v>
      </c>
      <c r="G402" s="82">
        <f>128.9</f>
        <v>128.9</v>
      </c>
      <c r="H402" s="79"/>
      <c r="I402" s="79"/>
      <c r="J402" s="79"/>
      <c r="K402" s="79"/>
      <c r="L402" s="79"/>
      <c r="M402" s="79"/>
      <c r="N402" s="79"/>
      <c r="O402" s="79"/>
      <c r="P402" s="79"/>
      <c r="Q402" s="79">
        <f t="shared" si="18"/>
        <v>128.9</v>
      </c>
      <c r="R402" s="79">
        <f t="shared" si="19"/>
        <v>0</v>
      </c>
      <c r="S402" s="79">
        <f t="shared" si="20"/>
        <v>128.9</v>
      </c>
    </row>
    <row r="403" spans="1:19" x14ac:dyDescent="0.2">
      <c r="A403" s="102" t="s">
        <v>4962</v>
      </c>
      <c r="B403" s="71" t="s">
        <v>4997</v>
      </c>
      <c r="C403" s="76">
        <v>251</v>
      </c>
      <c r="D403" s="72" t="s">
        <v>5034</v>
      </c>
      <c r="E403" s="73" t="s">
        <v>19</v>
      </c>
      <c r="F403" s="75">
        <v>42177</v>
      </c>
      <c r="G403" s="82">
        <f>42</f>
        <v>42</v>
      </c>
      <c r="H403" s="79"/>
      <c r="I403" s="79"/>
      <c r="J403" s="79"/>
      <c r="K403" s="79"/>
      <c r="L403" s="79"/>
      <c r="M403" s="79"/>
      <c r="N403" s="79"/>
      <c r="O403" s="79"/>
      <c r="P403" s="79"/>
      <c r="Q403" s="79">
        <f t="shared" si="18"/>
        <v>42</v>
      </c>
      <c r="R403" s="79">
        <f t="shared" si="19"/>
        <v>0</v>
      </c>
      <c r="S403" s="79">
        <f t="shared" si="20"/>
        <v>42</v>
      </c>
    </row>
    <row r="404" spans="1:19" x14ac:dyDescent="0.2">
      <c r="A404" s="102" t="s">
        <v>4963</v>
      </c>
      <c r="B404" s="71" t="s">
        <v>4998</v>
      </c>
      <c r="C404" s="76">
        <v>252</v>
      </c>
      <c r="D404" s="72" t="s">
        <v>5035</v>
      </c>
      <c r="E404" s="73" t="s">
        <v>19</v>
      </c>
      <c r="F404" s="75">
        <v>42178</v>
      </c>
      <c r="G404" s="82">
        <f>47.2+191.84</f>
        <v>239.04000000000002</v>
      </c>
      <c r="H404" s="79"/>
      <c r="I404" s="79"/>
      <c r="J404" s="79"/>
      <c r="K404" s="79"/>
      <c r="L404" s="79"/>
      <c r="M404" s="79"/>
      <c r="N404" s="79"/>
      <c r="O404" s="79"/>
      <c r="P404" s="79"/>
      <c r="Q404" s="79">
        <f t="shared" si="18"/>
        <v>239.04000000000002</v>
      </c>
      <c r="R404" s="79">
        <f t="shared" si="19"/>
        <v>0</v>
      </c>
      <c r="S404" s="79">
        <f t="shared" si="20"/>
        <v>239.04000000000002</v>
      </c>
    </row>
    <row r="405" spans="1:19" x14ac:dyDescent="0.2">
      <c r="A405" s="102" t="s">
        <v>4963</v>
      </c>
      <c r="B405" s="71" t="s">
        <v>4998</v>
      </c>
      <c r="C405" s="76">
        <v>252</v>
      </c>
      <c r="D405" s="72" t="s">
        <v>5036</v>
      </c>
      <c r="E405" s="73" t="s">
        <v>19</v>
      </c>
      <c r="F405" s="75">
        <v>42178</v>
      </c>
      <c r="G405" s="82"/>
      <c r="H405" s="79"/>
      <c r="I405" s="79"/>
      <c r="J405" s="79"/>
      <c r="K405" s="79"/>
      <c r="L405" s="79"/>
      <c r="M405" s="79"/>
      <c r="N405" s="79"/>
      <c r="O405" s="79"/>
      <c r="P405" s="79"/>
      <c r="Q405" s="79">
        <f t="shared" si="18"/>
        <v>0</v>
      </c>
      <c r="R405" s="79">
        <f t="shared" si="19"/>
        <v>0</v>
      </c>
      <c r="S405" s="79">
        <f t="shared" si="20"/>
        <v>0</v>
      </c>
    </row>
    <row r="406" spans="1:19" x14ac:dyDescent="0.2">
      <c r="A406" s="102" t="s">
        <v>4964</v>
      </c>
      <c r="B406" s="71" t="s">
        <v>4999</v>
      </c>
      <c r="C406" s="76">
        <v>253</v>
      </c>
      <c r="D406" s="72" t="s">
        <v>5037</v>
      </c>
      <c r="E406" s="73" t="s">
        <v>19</v>
      </c>
      <c r="F406" s="75">
        <v>42179</v>
      </c>
      <c r="G406" s="82">
        <f>395</f>
        <v>395</v>
      </c>
      <c r="H406" s="79"/>
      <c r="I406" s="79"/>
      <c r="J406" s="79"/>
      <c r="K406" s="79"/>
      <c r="L406" s="79"/>
      <c r="M406" s="79">
        <v>3850</v>
      </c>
      <c r="N406" s="79"/>
      <c r="O406" s="79">
        <v>15400</v>
      </c>
      <c r="P406" s="79"/>
      <c r="Q406" s="79">
        <f t="shared" si="18"/>
        <v>19645</v>
      </c>
      <c r="R406" s="79">
        <f t="shared" si="19"/>
        <v>0</v>
      </c>
      <c r="S406" s="79">
        <f t="shared" si="20"/>
        <v>19645</v>
      </c>
    </row>
    <row r="407" spans="1:19" x14ac:dyDescent="0.2">
      <c r="A407" s="102" t="s">
        <v>4965</v>
      </c>
      <c r="B407" s="71" t="s">
        <v>5000</v>
      </c>
      <c r="C407" s="76">
        <v>254</v>
      </c>
      <c r="D407" s="72" t="s">
        <v>5038</v>
      </c>
      <c r="E407" s="73" t="s">
        <v>19</v>
      </c>
      <c r="F407" s="75">
        <v>42179</v>
      </c>
      <c r="G407" s="82">
        <f>14217.9</f>
        <v>14217.9</v>
      </c>
      <c r="H407" s="79"/>
      <c r="I407" s="79"/>
      <c r="J407" s="79"/>
      <c r="K407" s="79"/>
      <c r="L407" s="79"/>
      <c r="M407" s="79"/>
      <c r="N407" s="79"/>
      <c r="O407" s="79"/>
      <c r="P407" s="79"/>
      <c r="Q407" s="79">
        <f t="shared" si="18"/>
        <v>14217.9</v>
      </c>
      <c r="R407" s="79">
        <f t="shared" si="19"/>
        <v>0</v>
      </c>
      <c r="S407" s="79">
        <f t="shared" si="20"/>
        <v>14217.9</v>
      </c>
    </row>
    <row r="408" spans="1:19" x14ac:dyDescent="0.2">
      <c r="A408" s="102" t="s">
        <v>4965</v>
      </c>
      <c r="B408" s="71" t="s">
        <v>5000</v>
      </c>
      <c r="C408" s="76">
        <v>254</v>
      </c>
      <c r="D408" s="72" t="s">
        <v>5039</v>
      </c>
      <c r="E408" s="73" t="s">
        <v>19</v>
      </c>
      <c r="F408" s="75">
        <v>42179</v>
      </c>
      <c r="G408" s="82">
        <f>1065.74+41.3</f>
        <v>1107.04</v>
      </c>
      <c r="H408" s="79"/>
      <c r="I408" s="79"/>
      <c r="J408" s="79"/>
      <c r="K408" s="79"/>
      <c r="L408" s="79"/>
      <c r="M408" s="79"/>
      <c r="N408" s="79"/>
      <c r="O408" s="79"/>
      <c r="P408" s="79"/>
      <c r="Q408" s="79">
        <f t="shared" si="18"/>
        <v>1107.04</v>
      </c>
      <c r="R408" s="79">
        <f t="shared" si="19"/>
        <v>0</v>
      </c>
      <c r="S408" s="79">
        <f t="shared" si="20"/>
        <v>1107.04</v>
      </c>
    </row>
    <row r="409" spans="1:19" x14ac:dyDescent="0.2">
      <c r="A409" s="102" t="s">
        <v>4966</v>
      </c>
      <c r="B409" s="71" t="s">
        <v>5001</v>
      </c>
      <c r="C409" s="76">
        <v>255</v>
      </c>
      <c r="D409" s="72" t="s">
        <v>5040</v>
      </c>
      <c r="E409" s="73" t="s">
        <v>19</v>
      </c>
      <c r="F409" s="105">
        <v>42179</v>
      </c>
      <c r="G409" s="82">
        <f>12239.6+1368.3+2039.81</f>
        <v>15647.71</v>
      </c>
      <c r="H409" s="79"/>
      <c r="I409" s="79"/>
      <c r="J409" s="79"/>
      <c r="K409" s="79"/>
      <c r="L409" s="79"/>
      <c r="M409" s="79"/>
      <c r="N409" s="79"/>
      <c r="O409" s="79"/>
      <c r="P409" s="79"/>
      <c r="Q409" s="79">
        <f t="shared" si="18"/>
        <v>15647.71</v>
      </c>
      <c r="R409" s="79">
        <f t="shared" si="19"/>
        <v>0</v>
      </c>
      <c r="S409" s="79">
        <f t="shared" si="20"/>
        <v>15647.71</v>
      </c>
    </row>
    <row r="410" spans="1:19" x14ac:dyDescent="0.2">
      <c r="A410" s="102" t="s">
        <v>4967</v>
      </c>
      <c r="B410" s="71" t="s">
        <v>2727</v>
      </c>
      <c r="C410" s="76">
        <v>256</v>
      </c>
      <c r="D410" s="72" t="s">
        <v>5041</v>
      </c>
      <c r="E410" s="73" t="s">
        <v>19</v>
      </c>
      <c r="F410" s="105">
        <v>42181</v>
      </c>
      <c r="G410" s="82">
        <f>195.65</f>
        <v>195.65</v>
      </c>
      <c r="H410" s="79"/>
      <c r="I410" s="79"/>
      <c r="J410" s="79"/>
      <c r="K410" s="79"/>
      <c r="L410" s="79"/>
      <c r="M410" s="79"/>
      <c r="N410" s="79"/>
      <c r="O410" s="79"/>
      <c r="P410" s="79"/>
      <c r="Q410" s="79">
        <f t="shared" si="18"/>
        <v>195.65</v>
      </c>
      <c r="R410" s="79">
        <f t="shared" si="19"/>
        <v>0</v>
      </c>
      <c r="S410" s="79">
        <f t="shared" si="20"/>
        <v>195.65</v>
      </c>
    </row>
    <row r="411" spans="1:19" x14ac:dyDescent="0.2">
      <c r="A411" s="102" t="s">
        <v>4967</v>
      </c>
      <c r="B411" s="71" t="s">
        <v>2727</v>
      </c>
      <c r="C411" s="76">
        <v>256</v>
      </c>
      <c r="D411" s="72" t="s">
        <v>5042</v>
      </c>
      <c r="E411" s="73" t="s">
        <v>19</v>
      </c>
      <c r="F411" s="105">
        <v>42181</v>
      </c>
      <c r="G411" s="82">
        <f>88.38</f>
        <v>88.38</v>
      </c>
      <c r="H411" s="79"/>
      <c r="I411" s="79"/>
      <c r="J411" s="79"/>
      <c r="K411" s="79"/>
      <c r="L411" s="79"/>
      <c r="M411" s="79"/>
      <c r="N411" s="79"/>
      <c r="O411" s="79"/>
      <c r="P411" s="79"/>
      <c r="Q411" s="79">
        <f t="shared" si="18"/>
        <v>88.38</v>
      </c>
      <c r="R411" s="79">
        <f t="shared" si="19"/>
        <v>0</v>
      </c>
      <c r="S411" s="79">
        <f t="shared" si="20"/>
        <v>88.38</v>
      </c>
    </row>
    <row r="412" spans="1:19" x14ac:dyDescent="0.2">
      <c r="A412" s="102" t="s">
        <v>4968</v>
      </c>
      <c r="B412" s="71" t="s">
        <v>5002</v>
      </c>
      <c r="C412" s="76">
        <v>257</v>
      </c>
      <c r="D412" s="72" t="s">
        <v>5043</v>
      </c>
      <c r="E412" s="73" t="s">
        <v>19</v>
      </c>
      <c r="F412" s="105">
        <v>42185</v>
      </c>
      <c r="G412" s="82">
        <f>221.6</f>
        <v>221.6</v>
      </c>
      <c r="H412" s="79"/>
      <c r="I412" s="79"/>
      <c r="J412" s="79"/>
      <c r="K412" s="79"/>
      <c r="L412" s="79"/>
      <c r="M412" s="79"/>
      <c r="N412" s="79"/>
      <c r="O412" s="79"/>
      <c r="P412" s="79"/>
      <c r="Q412" s="79">
        <f t="shared" si="18"/>
        <v>221.6</v>
      </c>
      <c r="R412" s="79">
        <f t="shared" si="19"/>
        <v>0</v>
      </c>
      <c r="S412" s="79">
        <f t="shared" si="20"/>
        <v>221.6</v>
      </c>
    </row>
    <row r="413" spans="1:19" x14ac:dyDescent="0.2">
      <c r="A413" s="102" t="s">
        <v>4969</v>
      </c>
      <c r="B413" s="71" t="s">
        <v>5003</v>
      </c>
      <c r="C413" s="76">
        <v>258</v>
      </c>
      <c r="D413" s="72" t="s">
        <v>5044</v>
      </c>
      <c r="E413" s="73" t="s">
        <v>19</v>
      </c>
      <c r="F413" s="105">
        <v>42185</v>
      </c>
      <c r="G413" s="82">
        <f>41.4</f>
        <v>41.4</v>
      </c>
      <c r="H413" s="79"/>
      <c r="I413" s="79"/>
      <c r="J413" s="79"/>
      <c r="K413" s="79"/>
      <c r="L413" s="79"/>
      <c r="M413" s="79"/>
      <c r="N413" s="79"/>
      <c r="O413" s="79"/>
      <c r="P413" s="79"/>
      <c r="Q413" s="79">
        <f t="shared" si="18"/>
        <v>41.4</v>
      </c>
      <c r="R413" s="79">
        <f t="shared" si="19"/>
        <v>0</v>
      </c>
      <c r="S413" s="79">
        <f t="shared" si="20"/>
        <v>41.4</v>
      </c>
    </row>
    <row r="414" spans="1:19" x14ac:dyDescent="0.2">
      <c r="A414" s="102" t="s">
        <v>4970</v>
      </c>
      <c r="B414" s="71" t="s">
        <v>5004</v>
      </c>
      <c r="C414" s="76">
        <v>259</v>
      </c>
      <c r="D414" s="72" t="s">
        <v>5045</v>
      </c>
      <c r="E414" s="73" t="s">
        <v>19</v>
      </c>
      <c r="F414" s="105">
        <v>42182</v>
      </c>
      <c r="G414" s="82">
        <f>1371.49+426.4+121.36+125.36+260+185+41.3</f>
        <v>2530.91</v>
      </c>
      <c r="H414" s="79"/>
      <c r="I414" s="79"/>
      <c r="J414" s="79"/>
      <c r="K414" s="79"/>
      <c r="L414" s="79"/>
      <c r="M414" s="79"/>
      <c r="N414" s="79"/>
      <c r="O414" s="79"/>
      <c r="P414" s="79"/>
      <c r="Q414" s="79">
        <f t="shared" si="18"/>
        <v>2530.91</v>
      </c>
      <c r="R414" s="79">
        <f t="shared" si="19"/>
        <v>0</v>
      </c>
      <c r="S414" s="79">
        <f t="shared" si="20"/>
        <v>2530.91</v>
      </c>
    </row>
    <row r="415" spans="1:19" x14ac:dyDescent="0.2">
      <c r="A415" s="102" t="s">
        <v>4971</v>
      </c>
      <c r="B415" s="71" t="s">
        <v>5005</v>
      </c>
      <c r="C415" s="76">
        <v>260</v>
      </c>
      <c r="D415" s="72" t="s">
        <v>5046</v>
      </c>
      <c r="E415" s="73" t="s">
        <v>19</v>
      </c>
      <c r="F415" s="105">
        <v>42182</v>
      </c>
      <c r="G415" s="82">
        <f>48.6</f>
        <v>48.6</v>
      </c>
      <c r="H415" s="79"/>
      <c r="I415" s="79"/>
      <c r="J415" s="79"/>
      <c r="K415" s="79"/>
      <c r="L415" s="79"/>
      <c r="M415" s="79"/>
      <c r="N415" s="79"/>
      <c r="O415" s="79"/>
      <c r="P415" s="79"/>
      <c r="Q415" s="79">
        <f t="shared" si="18"/>
        <v>48.6</v>
      </c>
      <c r="R415" s="79">
        <f t="shared" si="19"/>
        <v>0</v>
      </c>
      <c r="S415" s="79">
        <f t="shared" si="20"/>
        <v>48.6</v>
      </c>
    </row>
    <row r="416" spans="1:19" x14ac:dyDescent="0.2">
      <c r="A416" s="102" t="s">
        <v>4971</v>
      </c>
      <c r="B416" s="71" t="s">
        <v>5005</v>
      </c>
      <c r="C416" s="76">
        <v>260</v>
      </c>
      <c r="D416" s="72" t="s">
        <v>5047</v>
      </c>
      <c r="E416" s="73" t="s">
        <v>19</v>
      </c>
      <c r="F416" s="105">
        <v>42182</v>
      </c>
      <c r="G416" s="82">
        <f>125.6</f>
        <v>125.6</v>
      </c>
      <c r="H416" s="79"/>
      <c r="I416" s="79"/>
      <c r="J416" s="79"/>
      <c r="K416" s="79"/>
      <c r="L416" s="79"/>
      <c r="M416" s="79"/>
      <c r="N416" s="79"/>
      <c r="O416" s="79"/>
      <c r="P416" s="79"/>
      <c r="Q416" s="79">
        <f t="shared" si="18"/>
        <v>125.6</v>
      </c>
      <c r="R416" s="79">
        <f t="shared" si="19"/>
        <v>0</v>
      </c>
      <c r="S416" s="79">
        <f t="shared" si="20"/>
        <v>125.6</v>
      </c>
    </row>
    <row r="417" spans="1:19" x14ac:dyDescent="0.2">
      <c r="A417" s="102" t="s">
        <v>4971</v>
      </c>
      <c r="B417" s="71" t="s">
        <v>5005</v>
      </c>
      <c r="C417" s="76">
        <v>260</v>
      </c>
      <c r="D417" s="72" t="s">
        <v>5048</v>
      </c>
      <c r="E417" s="73" t="s">
        <v>19</v>
      </c>
      <c r="F417" s="105">
        <v>42182</v>
      </c>
      <c r="G417" s="82">
        <f>60.8</f>
        <v>60.8</v>
      </c>
      <c r="H417" s="79"/>
      <c r="I417" s="79"/>
      <c r="J417" s="79"/>
      <c r="K417" s="79"/>
      <c r="L417" s="79"/>
      <c r="M417" s="79"/>
      <c r="N417" s="79"/>
      <c r="O417" s="79"/>
      <c r="P417" s="79"/>
      <c r="Q417" s="79">
        <f t="shared" si="18"/>
        <v>60.8</v>
      </c>
      <c r="R417" s="79">
        <f t="shared" si="19"/>
        <v>0</v>
      </c>
      <c r="S417" s="79">
        <f t="shared" si="20"/>
        <v>60.8</v>
      </c>
    </row>
    <row r="418" spans="1:19" x14ac:dyDescent="0.2">
      <c r="A418" s="102" t="s">
        <v>4971</v>
      </c>
      <c r="B418" s="71" t="s">
        <v>5005</v>
      </c>
      <c r="C418" s="76">
        <v>260</v>
      </c>
      <c r="D418" s="72" t="s">
        <v>5049</v>
      </c>
      <c r="E418" s="73" t="s">
        <v>19</v>
      </c>
      <c r="F418" s="105">
        <v>42182</v>
      </c>
      <c r="G418" s="82">
        <f>40.8</f>
        <v>40.799999999999997</v>
      </c>
      <c r="H418" s="79"/>
      <c r="I418" s="79"/>
      <c r="J418" s="79"/>
      <c r="K418" s="79"/>
      <c r="L418" s="79"/>
      <c r="M418" s="79"/>
      <c r="N418" s="79"/>
      <c r="O418" s="79"/>
      <c r="P418" s="79"/>
      <c r="Q418" s="79">
        <f t="shared" si="18"/>
        <v>40.799999999999997</v>
      </c>
      <c r="R418" s="79">
        <f t="shared" si="19"/>
        <v>0</v>
      </c>
      <c r="S418" s="79">
        <f t="shared" si="20"/>
        <v>40.799999999999997</v>
      </c>
    </row>
    <row r="419" spans="1:19" x14ac:dyDescent="0.2">
      <c r="A419" s="102" t="s">
        <v>4972</v>
      </c>
      <c r="B419" s="71" t="s">
        <v>5006</v>
      </c>
      <c r="C419" s="76">
        <v>261</v>
      </c>
      <c r="D419" s="72" t="s">
        <v>5050</v>
      </c>
      <c r="E419" s="73" t="s">
        <v>19</v>
      </c>
      <c r="F419" s="105">
        <v>42185</v>
      </c>
      <c r="G419" s="82">
        <f>178.8</f>
        <v>178.8</v>
      </c>
      <c r="H419" s="79"/>
      <c r="I419" s="79"/>
      <c r="J419" s="79"/>
      <c r="K419" s="79"/>
      <c r="L419" s="79"/>
      <c r="M419" s="79"/>
      <c r="N419" s="79"/>
      <c r="O419" s="79"/>
      <c r="P419" s="79"/>
      <c r="Q419" s="79">
        <f t="shared" si="18"/>
        <v>178.8</v>
      </c>
      <c r="R419" s="79">
        <f t="shared" si="19"/>
        <v>0</v>
      </c>
      <c r="S419" s="79">
        <f t="shared" si="20"/>
        <v>178.8</v>
      </c>
    </row>
    <row r="420" spans="1:19" x14ac:dyDescent="0.2">
      <c r="A420" s="102" t="s">
        <v>4973</v>
      </c>
      <c r="B420" s="71" t="s">
        <v>5007</v>
      </c>
      <c r="C420" s="76">
        <v>262</v>
      </c>
      <c r="D420" s="72" t="s">
        <v>5051</v>
      </c>
      <c r="E420" s="73" t="s">
        <v>19</v>
      </c>
      <c r="F420" s="105">
        <v>42185</v>
      </c>
      <c r="G420" s="82">
        <f>212.6</f>
        <v>212.6</v>
      </c>
      <c r="H420" s="79"/>
      <c r="I420" s="79"/>
      <c r="J420" s="79"/>
      <c r="K420" s="79"/>
      <c r="L420" s="79"/>
      <c r="M420" s="79"/>
      <c r="N420" s="79"/>
      <c r="O420" s="79"/>
      <c r="P420" s="79"/>
      <c r="Q420" s="79">
        <f t="shared" si="18"/>
        <v>212.6</v>
      </c>
      <c r="R420" s="79">
        <f t="shared" si="19"/>
        <v>0</v>
      </c>
      <c r="S420" s="79">
        <f t="shared" si="20"/>
        <v>212.6</v>
      </c>
    </row>
    <row r="421" spans="1:19" x14ac:dyDescent="0.2">
      <c r="A421" s="102" t="s">
        <v>4974</v>
      </c>
      <c r="B421" s="71" t="s">
        <v>5008</v>
      </c>
      <c r="C421" s="76">
        <v>263</v>
      </c>
      <c r="D421" s="72" t="s">
        <v>5052</v>
      </c>
      <c r="E421" s="73" t="s">
        <v>19</v>
      </c>
      <c r="F421" s="105">
        <v>42186</v>
      </c>
      <c r="G421" s="82">
        <f>879.6</f>
        <v>879.6</v>
      </c>
      <c r="H421" s="79"/>
      <c r="I421" s="79"/>
      <c r="J421" s="79"/>
      <c r="K421" s="79"/>
      <c r="L421" s="79"/>
      <c r="M421" s="79"/>
      <c r="N421" s="79"/>
      <c r="O421" s="79"/>
      <c r="P421" s="79"/>
      <c r="Q421" s="79">
        <f t="shared" si="18"/>
        <v>879.6</v>
      </c>
      <c r="R421" s="79">
        <f t="shared" si="19"/>
        <v>0</v>
      </c>
      <c r="S421" s="79">
        <f t="shared" si="20"/>
        <v>879.6</v>
      </c>
    </row>
    <row r="422" spans="1:19" x14ac:dyDescent="0.2">
      <c r="A422" s="102" t="s">
        <v>4975</v>
      </c>
      <c r="B422" s="71" t="s">
        <v>4390</v>
      </c>
      <c r="C422" s="76">
        <v>264</v>
      </c>
      <c r="D422" s="72" t="s">
        <v>5053</v>
      </c>
      <c r="E422" s="73" t="s">
        <v>19</v>
      </c>
      <c r="F422" s="105">
        <v>41091</v>
      </c>
      <c r="G422" s="82">
        <f>402.5+545</f>
        <v>947.5</v>
      </c>
      <c r="H422" s="79"/>
      <c r="I422" s="79"/>
      <c r="J422" s="79"/>
      <c r="K422" s="79"/>
      <c r="L422" s="79"/>
      <c r="M422" s="79"/>
      <c r="N422" s="79"/>
      <c r="O422" s="79"/>
      <c r="P422" s="79"/>
      <c r="Q422" s="79">
        <f t="shared" si="18"/>
        <v>947.5</v>
      </c>
      <c r="R422" s="79">
        <f t="shared" si="19"/>
        <v>0</v>
      </c>
      <c r="S422" s="79">
        <f t="shared" si="20"/>
        <v>947.5</v>
      </c>
    </row>
    <row r="423" spans="1:19" x14ac:dyDescent="0.2">
      <c r="A423" s="102" t="s">
        <v>4976</v>
      </c>
      <c r="B423" s="71" t="s">
        <v>5009</v>
      </c>
      <c r="C423" s="76">
        <v>265</v>
      </c>
      <c r="D423" s="72" t="s">
        <v>5054</v>
      </c>
      <c r="E423" s="73" t="s">
        <v>19</v>
      </c>
      <c r="F423" s="105">
        <v>42186</v>
      </c>
      <c r="G423" s="82">
        <f>75</f>
        <v>75</v>
      </c>
      <c r="H423" s="79"/>
      <c r="I423" s="79"/>
      <c r="J423" s="79"/>
      <c r="K423" s="79"/>
      <c r="L423" s="79"/>
      <c r="M423" s="79"/>
      <c r="N423" s="79"/>
      <c r="O423" s="79"/>
      <c r="P423" s="79"/>
      <c r="Q423" s="79">
        <f t="shared" si="18"/>
        <v>75</v>
      </c>
      <c r="R423" s="79">
        <f t="shared" si="19"/>
        <v>0</v>
      </c>
      <c r="S423" s="79">
        <f t="shared" si="20"/>
        <v>75</v>
      </c>
    </row>
    <row r="424" spans="1:19" x14ac:dyDescent="0.2">
      <c r="A424" s="102" t="s">
        <v>4977</v>
      </c>
      <c r="B424" s="71" t="s">
        <v>5010</v>
      </c>
      <c r="C424" s="76">
        <v>266</v>
      </c>
      <c r="D424" s="72" t="s">
        <v>5055</v>
      </c>
      <c r="E424" s="73" t="s">
        <v>19</v>
      </c>
      <c r="F424" s="105">
        <v>42188</v>
      </c>
      <c r="G424" s="82">
        <f>115.2</f>
        <v>115.2</v>
      </c>
      <c r="H424" s="79"/>
      <c r="I424" s="79"/>
      <c r="J424" s="79"/>
      <c r="K424" s="79"/>
      <c r="L424" s="79"/>
      <c r="M424" s="79"/>
      <c r="N424" s="79"/>
      <c r="O424" s="79"/>
      <c r="P424" s="79"/>
      <c r="Q424" s="79">
        <f t="shared" si="18"/>
        <v>115.2</v>
      </c>
      <c r="R424" s="79">
        <f t="shared" si="19"/>
        <v>0</v>
      </c>
      <c r="S424" s="79">
        <f t="shared" si="20"/>
        <v>115.2</v>
      </c>
    </row>
    <row r="425" spans="1:19" x14ac:dyDescent="0.2">
      <c r="A425" s="102" t="s">
        <v>4978</v>
      </c>
      <c r="B425" s="71" t="s">
        <v>5011</v>
      </c>
      <c r="C425" s="76">
        <v>267</v>
      </c>
      <c r="D425" s="72" t="s">
        <v>5056</v>
      </c>
      <c r="E425" s="73" t="s">
        <v>19</v>
      </c>
      <c r="F425" s="105">
        <v>42186</v>
      </c>
      <c r="G425" s="82">
        <f>240+473.89</f>
        <v>713.89</v>
      </c>
      <c r="H425" s="79"/>
      <c r="I425" s="79"/>
      <c r="J425" s="79"/>
      <c r="K425" s="79"/>
      <c r="L425" s="79"/>
      <c r="M425" s="79"/>
      <c r="N425" s="79"/>
      <c r="O425" s="79"/>
      <c r="P425" s="79"/>
      <c r="Q425" s="79">
        <f t="shared" si="18"/>
        <v>713.89</v>
      </c>
      <c r="R425" s="79">
        <f t="shared" si="19"/>
        <v>0</v>
      </c>
      <c r="S425" s="79">
        <f t="shared" si="20"/>
        <v>713.89</v>
      </c>
    </row>
    <row r="426" spans="1:19" x14ac:dyDescent="0.2">
      <c r="A426" s="102" t="s">
        <v>4979</v>
      </c>
      <c r="B426" s="71" t="s">
        <v>5012</v>
      </c>
      <c r="C426" s="76">
        <v>268</v>
      </c>
      <c r="D426" s="72" t="s">
        <v>5057</v>
      </c>
      <c r="E426" s="73" t="s">
        <v>19</v>
      </c>
      <c r="F426" s="105">
        <v>42189</v>
      </c>
      <c r="G426" s="82">
        <f>240+19006.87</f>
        <v>19246.87</v>
      </c>
      <c r="H426" s="79"/>
      <c r="I426" s="79">
        <f>1750</f>
        <v>1750</v>
      </c>
      <c r="J426" s="79"/>
      <c r="K426" s="79"/>
      <c r="L426" s="79"/>
      <c r="M426" s="79"/>
      <c r="N426" s="79"/>
      <c r="O426" s="79"/>
      <c r="P426" s="79"/>
      <c r="Q426" s="79">
        <f t="shared" si="18"/>
        <v>20996.87</v>
      </c>
      <c r="R426" s="79">
        <f t="shared" si="19"/>
        <v>0</v>
      </c>
      <c r="S426" s="79">
        <f t="shared" si="20"/>
        <v>20996.87</v>
      </c>
    </row>
    <row r="427" spans="1:19" x14ac:dyDescent="0.2">
      <c r="A427" s="102" t="s">
        <v>4980</v>
      </c>
      <c r="B427" s="71" t="s">
        <v>5013</v>
      </c>
      <c r="C427" s="76">
        <v>269</v>
      </c>
      <c r="D427" s="72" t="s">
        <v>5058</v>
      </c>
      <c r="E427" s="73" t="s">
        <v>19</v>
      </c>
      <c r="F427" s="105">
        <v>42190</v>
      </c>
      <c r="G427" s="82">
        <f>142</f>
        <v>142</v>
      </c>
      <c r="H427" s="79"/>
      <c r="I427" s="79"/>
      <c r="J427" s="79"/>
      <c r="K427" s="79"/>
      <c r="L427" s="79"/>
      <c r="M427" s="79"/>
      <c r="N427" s="79"/>
      <c r="O427" s="79"/>
      <c r="P427" s="79"/>
      <c r="Q427" s="79">
        <f t="shared" si="18"/>
        <v>142</v>
      </c>
      <c r="R427" s="79">
        <f t="shared" si="19"/>
        <v>0</v>
      </c>
      <c r="S427" s="79">
        <f t="shared" si="20"/>
        <v>142</v>
      </c>
    </row>
    <row r="428" spans="1:19" x14ac:dyDescent="0.2">
      <c r="A428" s="102" t="s">
        <v>4981</v>
      </c>
      <c r="B428" s="71" t="s">
        <v>5014</v>
      </c>
      <c r="C428" s="76">
        <v>270</v>
      </c>
      <c r="D428" s="72" t="s">
        <v>5059</v>
      </c>
      <c r="E428" s="73" t="s">
        <v>19</v>
      </c>
      <c r="F428" s="105">
        <v>42190</v>
      </c>
      <c r="G428" s="82">
        <f>40</f>
        <v>40</v>
      </c>
      <c r="H428" s="79"/>
      <c r="I428" s="79"/>
      <c r="J428" s="79"/>
      <c r="K428" s="79"/>
      <c r="L428" s="79"/>
      <c r="M428" s="79"/>
      <c r="N428" s="79"/>
      <c r="O428" s="79"/>
      <c r="P428" s="79"/>
      <c r="Q428" s="79">
        <f t="shared" si="18"/>
        <v>40</v>
      </c>
      <c r="R428" s="79">
        <f t="shared" si="19"/>
        <v>0</v>
      </c>
      <c r="S428" s="79">
        <f t="shared" si="20"/>
        <v>40</v>
      </c>
    </row>
    <row r="429" spans="1:19" x14ac:dyDescent="0.2">
      <c r="A429" s="102" t="s">
        <v>4981</v>
      </c>
      <c r="B429" s="71" t="s">
        <v>5014</v>
      </c>
      <c r="C429" s="76">
        <v>270</v>
      </c>
      <c r="D429" s="72" t="s">
        <v>5060</v>
      </c>
      <c r="E429" s="73" t="s">
        <v>19</v>
      </c>
      <c r="F429" s="105">
        <v>42190</v>
      </c>
      <c r="G429" s="82">
        <f>40</f>
        <v>40</v>
      </c>
      <c r="H429" s="79"/>
      <c r="I429" s="79"/>
      <c r="J429" s="79"/>
      <c r="K429" s="79"/>
      <c r="L429" s="79"/>
      <c r="M429" s="79"/>
      <c r="N429" s="79"/>
      <c r="O429" s="79"/>
      <c r="P429" s="79"/>
      <c r="Q429" s="79">
        <f t="shared" si="18"/>
        <v>40</v>
      </c>
      <c r="R429" s="79">
        <f t="shared" si="19"/>
        <v>0</v>
      </c>
      <c r="S429" s="79">
        <f t="shared" si="20"/>
        <v>40</v>
      </c>
    </row>
    <row r="430" spans="1:19" x14ac:dyDescent="0.2">
      <c r="A430" s="102" t="s">
        <v>4981</v>
      </c>
      <c r="B430" s="71" t="s">
        <v>5014</v>
      </c>
      <c r="C430" s="76">
        <v>270</v>
      </c>
      <c r="D430" s="72" t="s">
        <v>5061</v>
      </c>
      <c r="E430" s="73" t="s">
        <v>19</v>
      </c>
      <c r="F430" s="105">
        <v>42190</v>
      </c>
      <c r="G430" s="82">
        <f>48</f>
        <v>48</v>
      </c>
      <c r="H430" s="79"/>
      <c r="I430" s="79"/>
      <c r="J430" s="79"/>
      <c r="K430" s="79"/>
      <c r="L430" s="79"/>
      <c r="M430" s="79"/>
      <c r="N430" s="79"/>
      <c r="O430" s="79"/>
      <c r="P430" s="79"/>
      <c r="Q430" s="79">
        <f t="shared" si="18"/>
        <v>48</v>
      </c>
      <c r="R430" s="79">
        <f t="shared" si="19"/>
        <v>0</v>
      </c>
      <c r="S430" s="79">
        <f t="shared" si="20"/>
        <v>48</v>
      </c>
    </row>
    <row r="431" spans="1:19" x14ac:dyDescent="0.2">
      <c r="A431" s="102" t="s">
        <v>4982</v>
      </c>
      <c r="B431" s="71" t="s">
        <v>5015</v>
      </c>
      <c r="C431" s="76">
        <v>271</v>
      </c>
      <c r="D431" s="73" t="s">
        <v>5062</v>
      </c>
      <c r="E431" s="73" t="s">
        <v>19</v>
      </c>
      <c r="F431" s="105">
        <v>42192</v>
      </c>
      <c r="G431" s="82">
        <f>219.66</f>
        <v>219.66</v>
      </c>
      <c r="H431" s="79"/>
      <c r="I431" s="79"/>
      <c r="J431" s="79"/>
      <c r="K431" s="79"/>
      <c r="L431" s="79"/>
      <c r="M431" s="79"/>
      <c r="N431" s="79"/>
      <c r="O431" s="79"/>
      <c r="P431" s="79"/>
      <c r="Q431" s="79">
        <f t="shared" si="18"/>
        <v>219.66</v>
      </c>
      <c r="R431" s="79">
        <f t="shared" si="19"/>
        <v>0</v>
      </c>
      <c r="S431" s="79">
        <f t="shared" si="20"/>
        <v>219.66</v>
      </c>
    </row>
    <row r="432" spans="1:19" x14ac:dyDescent="0.2">
      <c r="A432" s="102" t="s">
        <v>4982</v>
      </c>
      <c r="B432" s="71" t="s">
        <v>5015</v>
      </c>
      <c r="C432" s="76">
        <v>271</v>
      </c>
      <c r="D432" s="73" t="s">
        <v>5063</v>
      </c>
      <c r="E432" s="73" t="s">
        <v>19</v>
      </c>
      <c r="F432" s="105">
        <v>42192</v>
      </c>
      <c r="G432" s="82">
        <f>33.9+67.8+33.9+289.28</f>
        <v>424.88</v>
      </c>
      <c r="H432" s="79"/>
      <c r="I432" s="79">
        <f>200</f>
        <v>200</v>
      </c>
      <c r="J432" s="79"/>
      <c r="K432" s="79"/>
      <c r="L432" s="79"/>
      <c r="M432" s="79"/>
      <c r="N432" s="79"/>
      <c r="O432" s="79"/>
      <c r="P432" s="79"/>
      <c r="Q432" s="79">
        <f t="shared" si="18"/>
        <v>624.88</v>
      </c>
      <c r="R432" s="79">
        <f t="shared" si="19"/>
        <v>0</v>
      </c>
      <c r="S432" s="79">
        <f t="shared" si="20"/>
        <v>624.88</v>
      </c>
    </row>
    <row r="433" spans="1:19" x14ac:dyDescent="0.2">
      <c r="A433" s="102" t="s">
        <v>4983</v>
      </c>
      <c r="B433" s="71" t="s">
        <v>5016</v>
      </c>
      <c r="C433" s="76">
        <v>272</v>
      </c>
      <c r="D433" s="73" t="s">
        <v>5064</v>
      </c>
      <c r="E433" s="73" t="s">
        <v>19</v>
      </c>
      <c r="F433" s="105">
        <v>42192</v>
      </c>
      <c r="G433" s="82">
        <f>309.53+53.1+436.6+64.9+253.41</f>
        <v>1117.54</v>
      </c>
      <c r="H433" s="79"/>
      <c r="I433" s="79"/>
      <c r="J433" s="79"/>
      <c r="K433" s="79"/>
      <c r="L433" s="79"/>
      <c r="M433" s="79"/>
      <c r="N433" s="79"/>
      <c r="O433" s="79"/>
      <c r="P433" s="79"/>
      <c r="Q433" s="79">
        <f t="shared" si="18"/>
        <v>1117.54</v>
      </c>
      <c r="R433" s="79">
        <f t="shared" si="19"/>
        <v>0</v>
      </c>
      <c r="S433" s="79">
        <f t="shared" si="20"/>
        <v>1117.54</v>
      </c>
    </row>
    <row r="434" spans="1:19" x14ac:dyDescent="0.2">
      <c r="A434" s="102" t="s">
        <v>4984</v>
      </c>
      <c r="B434" s="71" t="s">
        <v>5017</v>
      </c>
      <c r="C434" s="76">
        <v>273</v>
      </c>
      <c r="D434" s="72" t="s">
        <v>5065</v>
      </c>
      <c r="E434" s="73" t="s">
        <v>19</v>
      </c>
      <c r="F434" s="105">
        <v>42192</v>
      </c>
      <c r="G434" s="82">
        <f>92.75</f>
        <v>92.75</v>
      </c>
      <c r="H434" s="79"/>
      <c r="I434" s="79"/>
      <c r="J434" s="79"/>
      <c r="K434" s="79"/>
      <c r="L434" s="79"/>
      <c r="M434" s="79"/>
      <c r="N434" s="79"/>
      <c r="O434" s="79"/>
      <c r="P434" s="79"/>
      <c r="Q434" s="79">
        <f t="shared" si="18"/>
        <v>92.75</v>
      </c>
      <c r="R434" s="79">
        <f t="shared" si="19"/>
        <v>0</v>
      </c>
      <c r="S434" s="79">
        <f t="shared" si="20"/>
        <v>92.75</v>
      </c>
    </row>
    <row r="435" spans="1:19" x14ac:dyDescent="0.2">
      <c r="A435" s="102" t="s">
        <v>4985</v>
      </c>
      <c r="B435" s="71" t="s">
        <v>5018</v>
      </c>
      <c r="C435" s="76">
        <v>274</v>
      </c>
      <c r="D435" s="72" t="s">
        <v>5066</v>
      </c>
      <c r="E435" s="73" t="s">
        <v>19</v>
      </c>
      <c r="F435" s="105">
        <v>42193</v>
      </c>
      <c r="G435" s="82">
        <f>152.47</f>
        <v>152.47</v>
      </c>
      <c r="H435" s="79"/>
      <c r="I435" s="79"/>
      <c r="J435" s="79"/>
      <c r="K435" s="79"/>
      <c r="L435" s="79"/>
      <c r="M435" s="79"/>
      <c r="N435" s="79"/>
      <c r="O435" s="79"/>
      <c r="P435" s="79"/>
      <c r="Q435" s="79">
        <f t="shared" si="18"/>
        <v>152.47</v>
      </c>
      <c r="R435" s="79">
        <f t="shared" si="19"/>
        <v>0</v>
      </c>
      <c r="S435" s="79">
        <f t="shared" si="20"/>
        <v>152.47</v>
      </c>
    </row>
    <row r="436" spans="1:19" x14ac:dyDescent="0.2">
      <c r="A436" s="102" t="s">
        <v>4986</v>
      </c>
      <c r="B436" s="71" t="s">
        <v>5019</v>
      </c>
      <c r="C436" s="76">
        <v>275</v>
      </c>
      <c r="D436" s="72" t="s">
        <v>5067</v>
      </c>
      <c r="E436" s="73" t="s">
        <v>19</v>
      </c>
      <c r="F436" s="105">
        <v>42194</v>
      </c>
      <c r="G436" s="82">
        <f>71.25</f>
        <v>71.25</v>
      </c>
      <c r="H436" s="79"/>
      <c r="I436" s="79"/>
      <c r="J436" s="79"/>
      <c r="K436" s="79"/>
      <c r="L436" s="79"/>
      <c r="M436" s="79"/>
      <c r="N436" s="79"/>
      <c r="O436" s="79"/>
      <c r="P436" s="79"/>
      <c r="Q436" s="79">
        <f t="shared" si="18"/>
        <v>71.25</v>
      </c>
      <c r="R436" s="79">
        <f t="shared" si="19"/>
        <v>0</v>
      </c>
      <c r="S436" s="79">
        <f t="shared" si="20"/>
        <v>71.25</v>
      </c>
    </row>
    <row r="437" spans="1:19" x14ac:dyDescent="0.2">
      <c r="A437" s="102" t="s">
        <v>4987</v>
      </c>
      <c r="B437" s="71" t="s">
        <v>5020</v>
      </c>
      <c r="C437" s="76">
        <v>276</v>
      </c>
      <c r="D437" s="72" t="s">
        <v>5401</v>
      </c>
      <c r="E437" s="73" t="s">
        <v>19</v>
      </c>
      <c r="F437" s="105">
        <v>42195</v>
      </c>
      <c r="G437" s="82">
        <v>57.94</v>
      </c>
      <c r="H437" s="79"/>
      <c r="I437" s="79"/>
      <c r="J437" s="79"/>
      <c r="K437" s="79"/>
      <c r="L437" s="79"/>
      <c r="M437" s="79"/>
      <c r="N437" s="79"/>
      <c r="O437" s="79"/>
      <c r="P437" s="79"/>
      <c r="Q437" s="79">
        <f t="shared" si="18"/>
        <v>57.94</v>
      </c>
      <c r="R437" s="79">
        <f t="shared" si="19"/>
        <v>0</v>
      </c>
      <c r="S437" s="79">
        <f t="shared" si="20"/>
        <v>57.94</v>
      </c>
    </row>
    <row r="438" spans="1:19" x14ac:dyDescent="0.2">
      <c r="A438" s="102" t="s">
        <v>4988</v>
      </c>
      <c r="B438" s="71" t="s">
        <v>5021</v>
      </c>
      <c r="C438" s="76">
        <v>277</v>
      </c>
      <c r="D438" s="72" t="s">
        <v>5068</v>
      </c>
      <c r="E438" s="73" t="s">
        <v>19</v>
      </c>
      <c r="F438" s="105">
        <v>42198</v>
      </c>
      <c r="G438" s="82">
        <f>49.4</f>
        <v>49.4</v>
      </c>
      <c r="H438" s="79"/>
      <c r="I438" s="79"/>
      <c r="J438" s="79"/>
      <c r="K438" s="79"/>
      <c r="L438" s="79"/>
      <c r="M438" s="79"/>
      <c r="N438" s="79"/>
      <c r="O438" s="79"/>
      <c r="P438" s="79"/>
      <c r="Q438" s="79">
        <f t="shared" si="18"/>
        <v>49.4</v>
      </c>
      <c r="R438" s="79">
        <f t="shared" si="19"/>
        <v>0</v>
      </c>
      <c r="S438" s="79">
        <f t="shared" si="20"/>
        <v>49.4</v>
      </c>
    </row>
    <row r="439" spans="1:19" x14ac:dyDescent="0.2">
      <c r="A439" s="102" t="s">
        <v>4989</v>
      </c>
      <c r="B439" s="71" t="s">
        <v>5022</v>
      </c>
      <c r="C439" s="76">
        <v>278</v>
      </c>
      <c r="D439" s="72" t="s">
        <v>5069</v>
      </c>
      <c r="E439" s="73" t="s">
        <v>19</v>
      </c>
      <c r="F439" s="105">
        <v>42198</v>
      </c>
      <c r="G439" s="82">
        <f>121.1</f>
        <v>121.1</v>
      </c>
      <c r="H439" s="79"/>
      <c r="I439" s="79"/>
      <c r="J439" s="79"/>
      <c r="K439" s="79"/>
      <c r="L439" s="79"/>
      <c r="M439" s="79"/>
      <c r="N439" s="79"/>
      <c r="O439" s="79"/>
      <c r="P439" s="79"/>
      <c r="Q439" s="79">
        <f t="shared" si="18"/>
        <v>121.1</v>
      </c>
      <c r="R439" s="79">
        <f t="shared" si="19"/>
        <v>0</v>
      </c>
      <c r="S439" s="79">
        <f t="shared" si="20"/>
        <v>121.1</v>
      </c>
    </row>
    <row r="440" spans="1:19" x14ac:dyDescent="0.2">
      <c r="A440" s="102" t="s">
        <v>4990</v>
      </c>
      <c r="B440" s="71" t="s">
        <v>5023</v>
      </c>
      <c r="C440" s="76">
        <v>279</v>
      </c>
      <c r="D440" s="72" t="s">
        <v>5070</v>
      </c>
      <c r="E440" s="73" t="s">
        <v>19</v>
      </c>
      <c r="F440" s="105">
        <v>42198</v>
      </c>
      <c r="G440" s="82">
        <f>204.08</f>
        <v>204.08</v>
      </c>
      <c r="H440" s="79"/>
      <c r="I440" s="79"/>
      <c r="J440" s="79"/>
      <c r="K440" s="79"/>
      <c r="L440" s="79"/>
      <c r="M440" s="79"/>
      <c r="N440" s="79"/>
      <c r="O440" s="79"/>
      <c r="P440" s="79"/>
      <c r="Q440" s="79">
        <f t="shared" si="18"/>
        <v>204.08</v>
      </c>
      <c r="R440" s="79">
        <f t="shared" si="19"/>
        <v>0</v>
      </c>
      <c r="S440" s="79">
        <f t="shared" si="20"/>
        <v>204.08</v>
      </c>
    </row>
    <row r="441" spans="1:19" x14ac:dyDescent="0.2">
      <c r="A441" s="102" t="s">
        <v>4990</v>
      </c>
      <c r="B441" s="71" t="s">
        <v>5023</v>
      </c>
      <c r="C441" s="76">
        <v>279</v>
      </c>
      <c r="D441" s="72" t="s">
        <v>5071</v>
      </c>
      <c r="E441" s="73" t="s">
        <v>19</v>
      </c>
      <c r="F441" s="105">
        <v>42198</v>
      </c>
      <c r="G441" s="82">
        <f>237.71</f>
        <v>237.71</v>
      </c>
      <c r="H441" s="79"/>
      <c r="I441" s="79"/>
      <c r="J441" s="79"/>
      <c r="K441" s="79"/>
      <c r="L441" s="79"/>
      <c r="M441" s="79"/>
      <c r="N441" s="79"/>
      <c r="O441" s="79"/>
      <c r="P441" s="79"/>
      <c r="Q441" s="79">
        <f t="shared" si="18"/>
        <v>237.71</v>
      </c>
      <c r="R441" s="79">
        <f t="shared" si="19"/>
        <v>0</v>
      </c>
      <c r="S441" s="79">
        <f t="shared" si="20"/>
        <v>237.71</v>
      </c>
    </row>
    <row r="442" spans="1:19" x14ac:dyDescent="0.2">
      <c r="A442" s="102" t="s">
        <v>4990</v>
      </c>
      <c r="B442" s="71" t="s">
        <v>5023</v>
      </c>
      <c r="C442" s="76">
        <v>279</v>
      </c>
      <c r="D442" s="72" t="s">
        <v>5072</v>
      </c>
      <c r="E442" s="73" t="s">
        <v>19</v>
      </c>
      <c r="F442" s="105">
        <v>42198</v>
      </c>
      <c r="G442" s="82">
        <f>307.69</f>
        <v>307.69</v>
      </c>
      <c r="H442" s="79"/>
      <c r="I442" s="79"/>
      <c r="J442" s="79"/>
      <c r="K442" s="79"/>
      <c r="L442" s="79"/>
      <c r="M442" s="79"/>
      <c r="N442" s="79"/>
      <c r="O442" s="79"/>
      <c r="P442" s="79"/>
      <c r="Q442" s="79">
        <f t="shared" si="18"/>
        <v>307.69</v>
      </c>
      <c r="R442" s="79">
        <f t="shared" si="19"/>
        <v>0</v>
      </c>
      <c r="S442" s="79">
        <f t="shared" si="20"/>
        <v>307.69</v>
      </c>
    </row>
    <row r="443" spans="1:19" x14ac:dyDescent="0.2">
      <c r="A443" s="102" t="s">
        <v>4990</v>
      </c>
      <c r="B443" s="71" t="s">
        <v>5023</v>
      </c>
      <c r="C443" s="76">
        <v>279</v>
      </c>
      <c r="D443" s="72" t="s">
        <v>5073</v>
      </c>
      <c r="E443" s="73" t="s">
        <v>19</v>
      </c>
      <c r="F443" s="105">
        <v>42198</v>
      </c>
      <c r="G443" s="82">
        <f>342.09+53.1+224.97+30.6</f>
        <v>650.76</v>
      </c>
      <c r="H443" s="79"/>
      <c r="I443" s="79">
        <v>400</v>
      </c>
      <c r="J443" s="79"/>
      <c r="K443" s="79"/>
      <c r="L443" s="79"/>
      <c r="M443" s="79"/>
      <c r="N443" s="79"/>
      <c r="O443" s="79"/>
      <c r="P443" s="79"/>
      <c r="Q443" s="79">
        <f t="shared" si="18"/>
        <v>1050.76</v>
      </c>
      <c r="R443" s="79">
        <f t="shared" si="19"/>
        <v>0</v>
      </c>
      <c r="S443" s="79">
        <f t="shared" si="20"/>
        <v>1050.76</v>
      </c>
    </row>
    <row r="444" spans="1:19" x14ac:dyDescent="0.2">
      <c r="A444" s="102" t="s">
        <v>4990</v>
      </c>
      <c r="B444" s="71" t="s">
        <v>5023</v>
      </c>
      <c r="C444" s="76">
        <v>279</v>
      </c>
      <c r="D444" s="72" t="s">
        <v>5074</v>
      </c>
      <c r="E444" s="73" t="s">
        <v>19</v>
      </c>
      <c r="F444" s="105">
        <v>42198</v>
      </c>
      <c r="G444" s="82">
        <f>153.7</f>
        <v>153.69999999999999</v>
      </c>
      <c r="H444" s="79"/>
      <c r="I444" s="79"/>
      <c r="J444" s="79"/>
      <c r="K444" s="79"/>
      <c r="L444" s="79"/>
      <c r="M444" s="79"/>
      <c r="N444" s="79"/>
      <c r="O444" s="79"/>
      <c r="P444" s="79"/>
      <c r="Q444" s="79">
        <f t="shared" si="18"/>
        <v>153.69999999999999</v>
      </c>
      <c r="R444" s="79">
        <f t="shared" si="19"/>
        <v>0</v>
      </c>
      <c r="S444" s="79">
        <f t="shared" si="20"/>
        <v>153.69999999999999</v>
      </c>
    </row>
    <row r="445" spans="1:19" x14ac:dyDescent="0.2">
      <c r="A445" s="102" t="s">
        <v>4990</v>
      </c>
      <c r="B445" s="71" t="s">
        <v>5023</v>
      </c>
      <c r="C445" s="76">
        <v>279</v>
      </c>
      <c r="D445" s="72" t="s">
        <v>5075</v>
      </c>
      <c r="E445" s="73" t="s">
        <v>19</v>
      </c>
      <c r="F445" s="105">
        <v>42198</v>
      </c>
      <c r="G445" s="82">
        <f>121.36+155.49+121.36+139.01+226.13+41.3+41.3+138.78+205.67+209.75</f>
        <v>1400.1499999999999</v>
      </c>
      <c r="H445" s="79"/>
      <c r="I445" s="79"/>
      <c r="J445" s="79"/>
      <c r="K445" s="79"/>
      <c r="L445" s="79"/>
      <c r="M445" s="79"/>
      <c r="N445" s="79"/>
      <c r="O445" s="79"/>
      <c r="P445" s="79"/>
      <c r="Q445" s="79">
        <f t="shared" si="18"/>
        <v>1400.1499999999999</v>
      </c>
      <c r="R445" s="79">
        <f t="shared" si="19"/>
        <v>0</v>
      </c>
      <c r="S445" s="79">
        <f t="shared" si="20"/>
        <v>1400.1499999999999</v>
      </c>
    </row>
    <row r="446" spans="1:19" x14ac:dyDescent="0.2">
      <c r="A446" s="102" t="s">
        <v>4991</v>
      </c>
      <c r="B446" s="71" t="s">
        <v>5024</v>
      </c>
      <c r="C446" s="76">
        <v>280</v>
      </c>
      <c r="D446" s="72" t="s">
        <v>5076</v>
      </c>
      <c r="E446" s="73" t="s">
        <v>19</v>
      </c>
      <c r="F446" s="105">
        <v>42199</v>
      </c>
      <c r="G446" s="82">
        <f>109.6</f>
        <v>109.6</v>
      </c>
      <c r="H446" s="79"/>
      <c r="I446" s="79"/>
      <c r="J446" s="79"/>
      <c r="K446" s="79"/>
      <c r="L446" s="79"/>
      <c r="M446" s="79"/>
      <c r="N446" s="79"/>
      <c r="O446" s="79"/>
      <c r="P446" s="79"/>
      <c r="Q446" s="79">
        <f t="shared" si="18"/>
        <v>109.6</v>
      </c>
      <c r="R446" s="79">
        <f t="shared" si="19"/>
        <v>0</v>
      </c>
      <c r="S446" s="79">
        <f t="shared" si="20"/>
        <v>109.6</v>
      </c>
    </row>
    <row r="447" spans="1:19" x14ac:dyDescent="0.2">
      <c r="A447" s="102" t="s">
        <v>5077</v>
      </c>
      <c r="B447" s="71" t="s">
        <v>5095</v>
      </c>
      <c r="C447" s="76">
        <v>281</v>
      </c>
      <c r="D447" s="72" t="s">
        <v>5113</v>
      </c>
      <c r="E447" s="73" t="s">
        <v>19</v>
      </c>
      <c r="F447" s="75">
        <v>42200</v>
      </c>
      <c r="G447" s="82"/>
      <c r="H447" s="79"/>
      <c r="I447" s="79"/>
      <c r="J447" s="79"/>
      <c r="K447" s="79"/>
      <c r="L447" s="79"/>
      <c r="M447" s="79"/>
      <c r="N447" s="79"/>
      <c r="O447" s="79"/>
      <c r="P447" s="79"/>
      <c r="Q447" s="79">
        <f t="shared" si="18"/>
        <v>0</v>
      </c>
      <c r="R447" s="79">
        <f t="shared" si="19"/>
        <v>0</v>
      </c>
      <c r="S447" s="79">
        <f t="shared" si="20"/>
        <v>0</v>
      </c>
    </row>
    <row r="448" spans="1:19" x14ac:dyDescent="0.2">
      <c r="A448" s="102" t="s">
        <v>5078</v>
      </c>
      <c r="B448" s="71" t="s">
        <v>5096</v>
      </c>
      <c r="C448" s="76">
        <v>282</v>
      </c>
      <c r="D448" s="72" t="s">
        <v>5114</v>
      </c>
      <c r="E448" s="73" t="s">
        <v>19</v>
      </c>
      <c r="F448" s="75">
        <v>42200</v>
      </c>
      <c r="G448" s="82">
        <f>79.79+184.2+640</f>
        <v>903.99</v>
      </c>
      <c r="H448" s="79"/>
      <c r="I448" s="79"/>
      <c r="J448" s="79"/>
      <c r="K448" s="79"/>
      <c r="L448" s="79"/>
      <c r="M448" s="79"/>
      <c r="N448" s="79"/>
      <c r="O448" s="79"/>
      <c r="P448" s="79"/>
      <c r="Q448" s="79">
        <f t="shared" si="18"/>
        <v>903.99</v>
      </c>
      <c r="R448" s="79">
        <f t="shared" si="19"/>
        <v>0</v>
      </c>
      <c r="S448" s="79">
        <f t="shared" si="20"/>
        <v>903.99</v>
      </c>
    </row>
    <row r="449" spans="1:19" x14ac:dyDescent="0.2">
      <c r="A449" s="102" t="s">
        <v>5079</v>
      </c>
      <c r="B449" s="71" t="s">
        <v>5097</v>
      </c>
      <c r="C449" s="76">
        <v>283</v>
      </c>
      <c r="D449" s="72" t="s">
        <v>5115</v>
      </c>
      <c r="E449" s="73" t="s">
        <v>19</v>
      </c>
      <c r="F449" s="75">
        <v>42201</v>
      </c>
      <c r="G449" s="82">
        <f>1106.97</f>
        <v>1106.97</v>
      </c>
      <c r="H449" s="79"/>
      <c r="I449" s="79"/>
      <c r="J449" s="79"/>
      <c r="K449" s="79"/>
      <c r="L449" s="79"/>
      <c r="M449" s="79"/>
      <c r="N449" s="79"/>
      <c r="O449" s="79"/>
      <c r="P449" s="79"/>
      <c r="Q449" s="79">
        <f t="shared" si="18"/>
        <v>1106.97</v>
      </c>
      <c r="R449" s="79">
        <f t="shared" si="19"/>
        <v>0</v>
      </c>
      <c r="S449" s="79">
        <f t="shared" si="20"/>
        <v>1106.97</v>
      </c>
    </row>
    <row r="450" spans="1:19" x14ac:dyDescent="0.2">
      <c r="A450" s="102" t="s">
        <v>5080</v>
      </c>
      <c r="B450" s="71" t="s">
        <v>5098</v>
      </c>
      <c r="C450" s="76">
        <v>284</v>
      </c>
      <c r="D450" s="72" t="s">
        <v>5116</v>
      </c>
      <c r="E450" s="73" t="s">
        <v>19</v>
      </c>
      <c r="F450" s="75">
        <v>42199</v>
      </c>
      <c r="G450" s="82">
        <f>83.4+2055.67+59.9+929.4+108.3+550+53.1+86.06+106.2+854.3+330.4</f>
        <v>5216.7299999999996</v>
      </c>
      <c r="H450" s="79"/>
      <c r="I450" s="79">
        <f>2000</f>
        <v>2000</v>
      </c>
      <c r="J450" s="79"/>
      <c r="K450" s="79"/>
      <c r="L450" s="79"/>
      <c r="M450" s="79"/>
      <c r="N450" s="79"/>
      <c r="O450" s="79"/>
      <c r="P450" s="79"/>
      <c r="Q450" s="79">
        <f t="shared" si="18"/>
        <v>7216.73</v>
      </c>
      <c r="R450" s="79">
        <f t="shared" si="19"/>
        <v>0</v>
      </c>
      <c r="S450" s="79">
        <f t="shared" si="20"/>
        <v>7216.73</v>
      </c>
    </row>
    <row r="451" spans="1:19" x14ac:dyDescent="0.2">
      <c r="A451" s="102" t="s">
        <v>5081</v>
      </c>
      <c r="B451" s="71" t="s">
        <v>5099</v>
      </c>
      <c r="C451" s="76">
        <v>285</v>
      </c>
      <c r="D451" s="72" t="s">
        <v>5117</v>
      </c>
      <c r="E451" s="73" t="s">
        <v>19</v>
      </c>
      <c r="F451" s="75">
        <v>42201</v>
      </c>
      <c r="G451" s="82">
        <f>264.1</f>
        <v>264.10000000000002</v>
      </c>
      <c r="H451" s="79"/>
      <c r="I451" s="79"/>
      <c r="J451" s="79"/>
      <c r="K451" s="79"/>
      <c r="L451" s="79"/>
      <c r="M451" s="79"/>
      <c r="N451" s="79"/>
      <c r="O451" s="79"/>
      <c r="P451" s="79"/>
      <c r="Q451" s="79">
        <f t="shared" si="18"/>
        <v>264.10000000000002</v>
      </c>
      <c r="R451" s="79">
        <f t="shared" si="19"/>
        <v>0</v>
      </c>
      <c r="S451" s="79">
        <f t="shared" si="20"/>
        <v>264.10000000000002</v>
      </c>
    </row>
    <row r="452" spans="1:19" x14ac:dyDescent="0.2">
      <c r="A452" s="102" t="s">
        <v>5081</v>
      </c>
      <c r="B452" s="71" t="s">
        <v>5099</v>
      </c>
      <c r="C452" s="76">
        <v>285</v>
      </c>
      <c r="D452" s="72" t="s">
        <v>5118</v>
      </c>
      <c r="E452" s="73" t="s">
        <v>19</v>
      </c>
      <c r="F452" s="75">
        <v>42201</v>
      </c>
      <c r="G452" s="82">
        <f>235.3</f>
        <v>235.3</v>
      </c>
      <c r="H452" s="79"/>
      <c r="I452" s="79"/>
      <c r="J452" s="79"/>
      <c r="K452" s="79"/>
      <c r="L452" s="79"/>
      <c r="M452" s="79"/>
      <c r="N452" s="79"/>
      <c r="O452" s="79"/>
      <c r="P452" s="79"/>
      <c r="Q452" s="79">
        <f t="shared" si="18"/>
        <v>235.3</v>
      </c>
      <c r="R452" s="79">
        <f t="shared" si="19"/>
        <v>0</v>
      </c>
      <c r="S452" s="79">
        <f t="shared" si="20"/>
        <v>235.3</v>
      </c>
    </row>
    <row r="453" spans="1:19" x14ac:dyDescent="0.2">
      <c r="A453" s="102" t="s">
        <v>5082</v>
      </c>
      <c r="B453" s="71" t="s">
        <v>5100</v>
      </c>
      <c r="C453" s="76">
        <v>286</v>
      </c>
      <c r="D453" s="72" t="s">
        <v>5119</v>
      </c>
      <c r="E453" s="73" t="s">
        <v>19</v>
      </c>
      <c r="F453" s="75">
        <v>42201</v>
      </c>
      <c r="G453" s="82">
        <f>155.76</f>
        <v>155.76</v>
      </c>
      <c r="H453" s="79"/>
      <c r="I453" s="79"/>
      <c r="J453" s="79"/>
      <c r="K453" s="79"/>
      <c r="L453" s="79"/>
      <c r="M453" s="79"/>
      <c r="N453" s="79"/>
      <c r="O453" s="79"/>
      <c r="P453" s="79"/>
      <c r="Q453" s="79">
        <f t="shared" si="18"/>
        <v>155.76</v>
      </c>
      <c r="R453" s="79">
        <f t="shared" si="19"/>
        <v>0</v>
      </c>
      <c r="S453" s="79">
        <f t="shared" si="20"/>
        <v>155.76</v>
      </c>
    </row>
    <row r="454" spans="1:19" x14ac:dyDescent="0.2">
      <c r="A454" s="102" t="s">
        <v>5083</v>
      </c>
      <c r="B454" s="71" t="s">
        <v>5101</v>
      </c>
      <c r="C454" s="76">
        <v>287</v>
      </c>
      <c r="D454" s="73" t="s">
        <v>5120</v>
      </c>
      <c r="E454" s="73" t="s">
        <v>19</v>
      </c>
      <c r="F454" s="75">
        <v>42201</v>
      </c>
      <c r="G454" s="82">
        <f>215</f>
        <v>215</v>
      </c>
      <c r="H454" s="79"/>
      <c r="I454" s="79"/>
      <c r="J454" s="79"/>
      <c r="K454" s="79"/>
      <c r="L454" s="79"/>
      <c r="M454" s="79"/>
      <c r="N454" s="79"/>
      <c r="O454" s="79"/>
      <c r="P454" s="79"/>
      <c r="Q454" s="79">
        <f t="shared" si="18"/>
        <v>215</v>
      </c>
      <c r="R454" s="79">
        <f t="shared" si="19"/>
        <v>0</v>
      </c>
      <c r="S454" s="79">
        <f t="shared" si="20"/>
        <v>215</v>
      </c>
    </row>
    <row r="455" spans="1:19" x14ac:dyDescent="0.2">
      <c r="A455" s="102" t="s">
        <v>5084</v>
      </c>
      <c r="B455" s="71" t="s">
        <v>5102</v>
      </c>
      <c r="C455" s="76">
        <v>288</v>
      </c>
      <c r="D455" s="72" t="s">
        <v>5121</v>
      </c>
      <c r="E455" s="73" t="s">
        <v>19</v>
      </c>
      <c r="F455" s="75">
        <v>42202</v>
      </c>
      <c r="G455" s="82">
        <f>694.15</f>
        <v>694.15</v>
      </c>
      <c r="H455" s="79"/>
      <c r="I455" s="79"/>
      <c r="J455" s="79"/>
      <c r="K455" s="79"/>
      <c r="L455" s="79"/>
      <c r="M455" s="79"/>
      <c r="N455" s="79"/>
      <c r="O455" s="79"/>
      <c r="P455" s="79"/>
      <c r="Q455" s="79">
        <f t="shared" si="18"/>
        <v>694.15</v>
      </c>
      <c r="R455" s="79">
        <f t="shared" si="19"/>
        <v>0</v>
      </c>
      <c r="S455" s="79">
        <f t="shared" si="20"/>
        <v>694.15</v>
      </c>
    </row>
    <row r="456" spans="1:19" x14ac:dyDescent="0.2">
      <c r="A456" s="102" t="s">
        <v>5085</v>
      </c>
      <c r="B456" s="71" t="s">
        <v>5103</v>
      </c>
      <c r="C456" s="76">
        <v>289</v>
      </c>
      <c r="D456" s="72" t="s">
        <v>5122</v>
      </c>
      <c r="E456" s="73" t="s">
        <v>19</v>
      </c>
      <c r="F456" s="75">
        <v>42202</v>
      </c>
      <c r="G456" s="82">
        <f>62.3</f>
        <v>62.3</v>
      </c>
      <c r="H456" s="79"/>
      <c r="I456" s="79"/>
      <c r="J456" s="79"/>
      <c r="K456" s="79"/>
      <c r="L456" s="79"/>
      <c r="M456" s="79"/>
      <c r="N456" s="79"/>
      <c r="O456" s="79"/>
      <c r="P456" s="79"/>
      <c r="Q456" s="79">
        <f t="shared" ref="Q456:Q519" si="21">+G456+I456+K456+M456+O456</f>
        <v>62.3</v>
      </c>
      <c r="R456" s="79">
        <f t="shared" ref="R456:R519" si="22">+H456+J456+L456+N456+P456</f>
        <v>0</v>
      </c>
      <c r="S456" s="79">
        <f t="shared" ref="S456:S519" si="23">+Q456+R456</f>
        <v>62.3</v>
      </c>
    </row>
    <row r="457" spans="1:19" x14ac:dyDescent="0.2">
      <c r="A457" s="102" t="s">
        <v>5086</v>
      </c>
      <c r="B457" s="71" t="s">
        <v>5104</v>
      </c>
      <c r="C457" s="76">
        <v>290</v>
      </c>
      <c r="D457" s="72" t="s">
        <v>5123</v>
      </c>
      <c r="E457" s="73" t="s">
        <v>19</v>
      </c>
      <c r="F457" s="75">
        <v>42204</v>
      </c>
      <c r="G457" s="82">
        <f>236.5</f>
        <v>236.5</v>
      </c>
      <c r="H457" s="79"/>
      <c r="I457" s="79"/>
      <c r="J457" s="79"/>
      <c r="K457" s="79"/>
      <c r="L457" s="79"/>
      <c r="M457" s="79"/>
      <c r="N457" s="79"/>
      <c r="O457" s="79"/>
      <c r="P457" s="79"/>
      <c r="Q457" s="79">
        <f t="shared" si="21"/>
        <v>236.5</v>
      </c>
      <c r="R457" s="79">
        <f t="shared" si="22"/>
        <v>0</v>
      </c>
      <c r="S457" s="79">
        <f t="shared" si="23"/>
        <v>236.5</v>
      </c>
    </row>
    <row r="458" spans="1:19" x14ac:dyDescent="0.2">
      <c r="A458" s="102" t="s">
        <v>5087</v>
      </c>
      <c r="B458" s="71" t="s">
        <v>5105</v>
      </c>
      <c r="C458" s="76">
        <v>291</v>
      </c>
      <c r="D458" s="72" t="s">
        <v>5124</v>
      </c>
      <c r="E458" s="73" t="s">
        <v>19</v>
      </c>
      <c r="F458" s="75">
        <v>41932</v>
      </c>
      <c r="G458" s="82">
        <f>137.6</f>
        <v>137.6</v>
      </c>
      <c r="H458" s="79"/>
      <c r="I458" s="79"/>
      <c r="J458" s="79"/>
      <c r="K458" s="79"/>
      <c r="L458" s="79"/>
      <c r="M458" s="79"/>
      <c r="N458" s="79"/>
      <c r="O458" s="79"/>
      <c r="P458" s="79"/>
      <c r="Q458" s="79">
        <f t="shared" si="21"/>
        <v>137.6</v>
      </c>
      <c r="R458" s="79">
        <f t="shared" si="22"/>
        <v>0</v>
      </c>
      <c r="S458" s="79">
        <f t="shared" si="23"/>
        <v>137.6</v>
      </c>
    </row>
    <row r="459" spans="1:19" x14ac:dyDescent="0.2">
      <c r="A459" s="102" t="s">
        <v>5088</v>
      </c>
      <c r="B459" s="71" t="s">
        <v>5106</v>
      </c>
      <c r="C459" s="76">
        <v>292</v>
      </c>
      <c r="D459" s="72" t="s">
        <v>5125</v>
      </c>
      <c r="E459" s="73" t="s">
        <v>19</v>
      </c>
      <c r="F459" s="75">
        <v>41932</v>
      </c>
      <c r="G459" s="82">
        <v>48.5</v>
      </c>
      <c r="H459" s="79"/>
      <c r="I459" s="79"/>
      <c r="J459" s="79"/>
      <c r="K459" s="79"/>
      <c r="L459" s="79"/>
      <c r="M459" s="79"/>
      <c r="N459" s="79"/>
      <c r="O459" s="79"/>
      <c r="P459" s="79"/>
      <c r="Q459" s="79">
        <f t="shared" si="21"/>
        <v>48.5</v>
      </c>
      <c r="R459" s="79">
        <f t="shared" si="22"/>
        <v>0</v>
      </c>
      <c r="S459" s="79">
        <f t="shared" si="23"/>
        <v>48.5</v>
      </c>
    </row>
    <row r="460" spans="1:19" x14ac:dyDescent="0.2">
      <c r="A460" s="102" t="s">
        <v>5089</v>
      </c>
      <c r="B460" s="71" t="s">
        <v>5107</v>
      </c>
      <c r="C460" s="76">
        <v>293</v>
      </c>
      <c r="D460" s="72" t="s">
        <v>5126</v>
      </c>
      <c r="E460" s="73" t="s">
        <v>19</v>
      </c>
      <c r="F460" s="75">
        <v>42205</v>
      </c>
      <c r="G460" s="82">
        <f>231</f>
        <v>231</v>
      </c>
      <c r="H460" s="79"/>
      <c r="I460" s="79"/>
      <c r="J460" s="79"/>
      <c r="K460" s="79"/>
      <c r="L460" s="79"/>
      <c r="M460" s="79"/>
      <c r="N460" s="79"/>
      <c r="O460" s="79"/>
      <c r="P460" s="79"/>
      <c r="Q460" s="79">
        <f t="shared" si="21"/>
        <v>231</v>
      </c>
      <c r="R460" s="79">
        <f t="shared" si="22"/>
        <v>0</v>
      </c>
      <c r="S460" s="79">
        <f t="shared" si="23"/>
        <v>231</v>
      </c>
    </row>
    <row r="461" spans="1:19" x14ac:dyDescent="0.2">
      <c r="A461" s="102" t="s">
        <v>5089</v>
      </c>
      <c r="B461" s="71" t="s">
        <v>5107</v>
      </c>
      <c r="C461" s="76">
        <v>293</v>
      </c>
      <c r="D461" s="72" t="s">
        <v>5127</v>
      </c>
      <c r="E461" s="73" t="s">
        <v>19</v>
      </c>
      <c r="F461" s="75">
        <v>42205</v>
      </c>
      <c r="G461" s="82">
        <f>48</f>
        <v>48</v>
      </c>
      <c r="H461" s="79"/>
      <c r="I461" s="79"/>
      <c r="J461" s="79"/>
      <c r="K461" s="79"/>
      <c r="L461" s="79"/>
      <c r="M461" s="79"/>
      <c r="N461" s="79"/>
      <c r="O461" s="79"/>
      <c r="P461" s="79"/>
      <c r="Q461" s="79">
        <f t="shared" si="21"/>
        <v>48</v>
      </c>
      <c r="R461" s="79">
        <f t="shared" si="22"/>
        <v>0</v>
      </c>
      <c r="S461" s="79">
        <f t="shared" si="23"/>
        <v>48</v>
      </c>
    </row>
    <row r="462" spans="1:19" x14ac:dyDescent="0.2">
      <c r="A462" s="102" t="s">
        <v>5090</v>
      </c>
      <c r="B462" s="71" t="s">
        <v>5108</v>
      </c>
      <c r="C462" s="76">
        <v>294</v>
      </c>
      <c r="D462" s="72" t="s">
        <v>5128</v>
      </c>
      <c r="E462" s="73" t="s">
        <v>19</v>
      </c>
      <c r="F462" s="75">
        <v>42206</v>
      </c>
      <c r="G462" s="82">
        <f>181.4</f>
        <v>181.4</v>
      </c>
      <c r="H462" s="79"/>
      <c r="I462" s="79"/>
      <c r="J462" s="79"/>
      <c r="K462" s="79"/>
      <c r="L462" s="79"/>
      <c r="M462" s="79"/>
      <c r="N462" s="79"/>
      <c r="O462" s="79"/>
      <c r="P462" s="79"/>
      <c r="Q462" s="79">
        <f t="shared" si="21"/>
        <v>181.4</v>
      </c>
      <c r="R462" s="79">
        <f t="shared" si="22"/>
        <v>0</v>
      </c>
      <c r="S462" s="79">
        <f t="shared" si="23"/>
        <v>181.4</v>
      </c>
    </row>
    <row r="463" spans="1:19" x14ac:dyDescent="0.2">
      <c r="A463" s="102" t="s">
        <v>5091</v>
      </c>
      <c r="B463" s="71" t="s">
        <v>5109</v>
      </c>
      <c r="C463" s="76">
        <v>295</v>
      </c>
      <c r="D463" s="72" t="s">
        <v>5129</v>
      </c>
      <c r="E463" s="73" t="s">
        <v>19</v>
      </c>
      <c r="F463" s="75">
        <v>42206</v>
      </c>
      <c r="G463" s="82">
        <f>105</f>
        <v>105</v>
      </c>
      <c r="H463" s="79"/>
      <c r="I463" s="79"/>
      <c r="J463" s="79"/>
      <c r="K463" s="79"/>
      <c r="L463" s="79"/>
      <c r="M463" s="79"/>
      <c r="N463" s="79"/>
      <c r="O463" s="79"/>
      <c r="P463" s="79"/>
      <c r="Q463" s="79">
        <f t="shared" si="21"/>
        <v>105</v>
      </c>
      <c r="R463" s="79">
        <f t="shared" si="22"/>
        <v>0</v>
      </c>
      <c r="S463" s="79">
        <f t="shared" si="23"/>
        <v>105</v>
      </c>
    </row>
    <row r="464" spans="1:19" x14ac:dyDescent="0.2">
      <c r="A464" s="102" t="s">
        <v>5092</v>
      </c>
      <c r="B464" s="71" t="s">
        <v>5110</v>
      </c>
      <c r="C464" s="76">
        <v>296</v>
      </c>
      <c r="D464" s="72" t="s">
        <v>5130</v>
      </c>
      <c r="E464" s="73" t="s">
        <v>19</v>
      </c>
      <c r="F464" s="75">
        <v>42207</v>
      </c>
      <c r="G464" s="82">
        <f>978.14</f>
        <v>978.14</v>
      </c>
      <c r="H464" s="79"/>
      <c r="I464" s="79"/>
      <c r="J464" s="79"/>
      <c r="K464" s="79"/>
      <c r="L464" s="79"/>
      <c r="M464" s="79"/>
      <c r="N464" s="79"/>
      <c r="O464" s="79"/>
      <c r="P464" s="79"/>
      <c r="Q464" s="79">
        <f t="shared" si="21"/>
        <v>978.14</v>
      </c>
      <c r="R464" s="79">
        <f t="shared" si="22"/>
        <v>0</v>
      </c>
      <c r="S464" s="79">
        <f t="shared" si="23"/>
        <v>978.14</v>
      </c>
    </row>
    <row r="465" spans="1:19" x14ac:dyDescent="0.2">
      <c r="A465" s="102" t="s">
        <v>5093</v>
      </c>
      <c r="B465" s="71" t="s">
        <v>5111</v>
      </c>
      <c r="C465" s="76">
        <v>297</v>
      </c>
      <c r="D465" s="72" t="s">
        <v>5131</v>
      </c>
      <c r="E465" s="73" t="s">
        <v>19</v>
      </c>
      <c r="F465" s="75">
        <v>42208</v>
      </c>
      <c r="G465" s="82">
        <f>83</f>
        <v>83</v>
      </c>
      <c r="H465" s="79"/>
      <c r="I465" s="79"/>
      <c r="J465" s="79"/>
      <c r="K465" s="79"/>
      <c r="L465" s="79"/>
      <c r="M465" s="79"/>
      <c r="N465" s="79"/>
      <c r="O465" s="79"/>
      <c r="P465" s="79"/>
      <c r="Q465" s="79">
        <f t="shared" si="21"/>
        <v>83</v>
      </c>
      <c r="R465" s="79">
        <f t="shared" si="22"/>
        <v>0</v>
      </c>
      <c r="S465" s="79">
        <f t="shared" si="23"/>
        <v>83</v>
      </c>
    </row>
    <row r="466" spans="1:19" x14ac:dyDescent="0.2">
      <c r="A466" s="102" t="s">
        <v>5094</v>
      </c>
      <c r="B466" s="71" t="s">
        <v>5112</v>
      </c>
      <c r="C466" s="76">
        <v>298</v>
      </c>
      <c r="D466" s="72" t="s">
        <v>5132</v>
      </c>
      <c r="E466" s="73" t="s">
        <v>73</v>
      </c>
      <c r="F466" s="75">
        <v>42208</v>
      </c>
      <c r="G466" s="82"/>
      <c r="H466" s="79"/>
      <c r="I466" s="79"/>
      <c r="J466" s="79"/>
      <c r="K466" s="79"/>
      <c r="L466" s="79"/>
      <c r="M466" s="79"/>
      <c r="N466" s="79"/>
      <c r="O466" s="79"/>
      <c r="P466" s="79"/>
      <c r="Q466" s="79">
        <f t="shared" si="21"/>
        <v>0</v>
      </c>
      <c r="R466" s="79">
        <f t="shared" si="22"/>
        <v>0</v>
      </c>
      <c r="S466" s="79">
        <f t="shared" si="23"/>
        <v>0</v>
      </c>
    </row>
    <row r="467" spans="1:19" x14ac:dyDescent="0.2">
      <c r="A467" s="102" t="s">
        <v>5140</v>
      </c>
      <c r="B467" s="71" t="s">
        <v>5176</v>
      </c>
      <c r="C467" s="76">
        <v>299</v>
      </c>
      <c r="D467" s="72" t="s">
        <v>5210</v>
      </c>
      <c r="E467" s="73" t="s">
        <v>19</v>
      </c>
      <c r="F467" s="75">
        <v>42208</v>
      </c>
      <c r="G467" s="82">
        <f>89.46</f>
        <v>89.46</v>
      </c>
      <c r="H467" s="79"/>
      <c r="I467" s="79"/>
      <c r="J467" s="79"/>
      <c r="K467" s="79"/>
      <c r="L467" s="79"/>
      <c r="M467" s="79"/>
      <c r="N467" s="79"/>
      <c r="O467" s="79"/>
      <c r="P467" s="79"/>
      <c r="Q467" s="79">
        <f t="shared" si="21"/>
        <v>89.46</v>
      </c>
      <c r="R467" s="79">
        <f t="shared" si="22"/>
        <v>0</v>
      </c>
      <c r="S467" s="79">
        <f t="shared" si="23"/>
        <v>89.46</v>
      </c>
    </row>
    <row r="468" spans="1:19" x14ac:dyDescent="0.2">
      <c r="A468" s="102" t="s">
        <v>5141</v>
      </c>
      <c r="B468" s="71" t="s">
        <v>5177</v>
      </c>
      <c r="C468" s="76">
        <v>300</v>
      </c>
      <c r="D468" s="72" t="s">
        <v>5211</v>
      </c>
      <c r="E468" s="73" t="s">
        <v>19</v>
      </c>
      <c r="F468" s="75">
        <v>42209</v>
      </c>
      <c r="G468" s="82">
        <v>121.6</v>
      </c>
      <c r="H468" s="79"/>
      <c r="I468" s="79"/>
      <c r="J468" s="79"/>
      <c r="K468" s="79"/>
      <c r="L468" s="79"/>
      <c r="M468" s="79"/>
      <c r="N468" s="79"/>
      <c r="O468" s="79"/>
      <c r="P468" s="79"/>
      <c r="Q468" s="79">
        <f t="shared" si="21"/>
        <v>121.6</v>
      </c>
      <c r="R468" s="79">
        <f t="shared" si="22"/>
        <v>0</v>
      </c>
      <c r="S468" s="79">
        <f t="shared" si="23"/>
        <v>121.6</v>
      </c>
    </row>
    <row r="469" spans="1:19" x14ac:dyDescent="0.2">
      <c r="A469" s="102" t="s">
        <v>5142</v>
      </c>
      <c r="B469" s="71" t="s">
        <v>5178</v>
      </c>
      <c r="C469" s="76">
        <v>301</v>
      </c>
      <c r="D469" s="72" t="s">
        <v>5212</v>
      </c>
      <c r="E469" s="73" t="s">
        <v>19</v>
      </c>
      <c r="F469" s="75">
        <v>41844</v>
      </c>
      <c r="G469" s="82">
        <f>40</f>
        <v>40</v>
      </c>
      <c r="H469" s="79"/>
      <c r="I469" s="79"/>
      <c r="J469" s="79"/>
      <c r="K469" s="79"/>
      <c r="L469" s="79"/>
      <c r="M469" s="79"/>
      <c r="N469" s="79"/>
      <c r="O469" s="79"/>
      <c r="P469" s="79"/>
      <c r="Q469" s="79">
        <f t="shared" si="21"/>
        <v>40</v>
      </c>
      <c r="R469" s="79">
        <f t="shared" si="22"/>
        <v>0</v>
      </c>
      <c r="S469" s="79">
        <f t="shared" si="23"/>
        <v>40</v>
      </c>
    </row>
    <row r="470" spans="1:19" x14ac:dyDescent="0.2">
      <c r="A470" s="102" t="s">
        <v>5143</v>
      </c>
      <c r="B470" s="71" t="s">
        <v>5179</v>
      </c>
      <c r="C470" s="76">
        <v>302</v>
      </c>
      <c r="D470" s="72" t="s">
        <v>5213</v>
      </c>
      <c r="E470" s="73" t="s">
        <v>4179</v>
      </c>
      <c r="F470" s="75">
        <v>42209</v>
      </c>
      <c r="G470" s="82"/>
      <c r="H470" s="79"/>
      <c r="I470" s="79"/>
      <c r="J470" s="79"/>
      <c r="K470" s="79"/>
      <c r="L470" s="79"/>
      <c r="M470" s="79">
        <v>3850</v>
      </c>
      <c r="N470" s="79"/>
      <c r="O470" s="79">
        <f>15400</f>
        <v>15400</v>
      </c>
      <c r="P470" s="79"/>
      <c r="Q470" s="79">
        <f t="shared" si="21"/>
        <v>19250</v>
      </c>
      <c r="R470" s="79">
        <f t="shared" si="22"/>
        <v>0</v>
      </c>
      <c r="S470" s="79">
        <f t="shared" si="23"/>
        <v>19250</v>
      </c>
    </row>
    <row r="471" spans="1:19" x14ac:dyDescent="0.2">
      <c r="A471" s="102" t="s">
        <v>5143</v>
      </c>
      <c r="B471" s="71" t="s">
        <v>5179</v>
      </c>
      <c r="C471" s="76">
        <v>302</v>
      </c>
      <c r="D471" s="72" t="s">
        <v>5532</v>
      </c>
      <c r="E471" s="73" t="s">
        <v>4179</v>
      </c>
      <c r="F471" s="75">
        <v>42209</v>
      </c>
      <c r="G471" s="82"/>
      <c r="H471" s="79"/>
      <c r="I471" s="79"/>
      <c r="J471" s="79"/>
      <c r="K471" s="79"/>
      <c r="L471" s="79"/>
      <c r="M471" s="79">
        <v>3850</v>
      </c>
      <c r="N471" s="79"/>
      <c r="O471" s="79">
        <v>15400</v>
      </c>
      <c r="P471" s="79"/>
      <c r="Q471" s="79">
        <f t="shared" si="21"/>
        <v>19250</v>
      </c>
      <c r="R471" s="79">
        <f t="shared" si="22"/>
        <v>0</v>
      </c>
      <c r="S471" s="79">
        <f t="shared" si="23"/>
        <v>19250</v>
      </c>
    </row>
    <row r="472" spans="1:19" x14ac:dyDescent="0.2">
      <c r="A472" s="102" t="s">
        <v>5144</v>
      </c>
      <c r="B472" s="71" t="s">
        <v>5180</v>
      </c>
      <c r="C472" s="76">
        <v>303</v>
      </c>
      <c r="D472" s="72" t="s">
        <v>5214</v>
      </c>
      <c r="E472" s="73" t="s">
        <v>19</v>
      </c>
      <c r="F472" s="75">
        <v>42211</v>
      </c>
      <c r="G472" s="82"/>
      <c r="H472" s="79"/>
      <c r="I472" s="79"/>
      <c r="J472" s="79"/>
      <c r="K472" s="79"/>
      <c r="L472" s="79"/>
      <c r="M472" s="79">
        <f>3850</f>
        <v>3850</v>
      </c>
      <c r="N472" s="79"/>
      <c r="O472" s="79">
        <v>15400</v>
      </c>
      <c r="P472" s="79"/>
      <c r="Q472" s="79">
        <f t="shared" si="21"/>
        <v>19250</v>
      </c>
      <c r="R472" s="79">
        <f t="shared" si="22"/>
        <v>0</v>
      </c>
      <c r="S472" s="79">
        <f t="shared" si="23"/>
        <v>19250</v>
      </c>
    </row>
    <row r="473" spans="1:19" x14ac:dyDescent="0.2">
      <c r="A473" s="102" t="s">
        <v>5145</v>
      </c>
      <c r="B473" s="71" t="s">
        <v>5181</v>
      </c>
      <c r="C473" s="76">
        <v>304</v>
      </c>
      <c r="D473" s="72" t="s">
        <v>5215</v>
      </c>
      <c r="E473" s="73" t="s">
        <v>19</v>
      </c>
      <c r="F473" s="75">
        <v>42212</v>
      </c>
      <c r="G473" s="82">
        <f>558+83.6+128.88+84.61+47.2</f>
        <v>902.29000000000008</v>
      </c>
      <c r="H473" s="79"/>
      <c r="I473" s="79">
        <v>1500</v>
      </c>
      <c r="J473" s="79"/>
      <c r="K473" s="79"/>
      <c r="L473" s="79"/>
      <c r="M473" s="79"/>
      <c r="N473" s="79"/>
      <c r="O473" s="79"/>
      <c r="P473" s="79"/>
      <c r="Q473" s="79">
        <f t="shared" si="21"/>
        <v>2402.29</v>
      </c>
      <c r="R473" s="79">
        <f t="shared" si="22"/>
        <v>0</v>
      </c>
      <c r="S473" s="79">
        <f t="shared" si="23"/>
        <v>2402.29</v>
      </c>
    </row>
    <row r="474" spans="1:19" x14ac:dyDescent="0.2">
      <c r="A474" s="102" t="s">
        <v>5146</v>
      </c>
      <c r="B474" s="71" t="s">
        <v>5182</v>
      </c>
      <c r="C474" s="76">
        <v>305</v>
      </c>
      <c r="D474" s="72" t="s">
        <v>5216</v>
      </c>
      <c r="E474" s="73" t="s">
        <v>19</v>
      </c>
      <c r="F474" s="75">
        <v>42212</v>
      </c>
      <c r="G474" s="82">
        <f>147.9+3217.61+410+66.81+610.77+631.3+90.77+631.3+436.6+64.9</f>
        <v>6307.9600000000009</v>
      </c>
      <c r="H474" s="79"/>
      <c r="I474" s="79">
        <v>3850</v>
      </c>
      <c r="J474" s="79"/>
      <c r="K474" s="79"/>
      <c r="L474" s="79"/>
      <c r="M474" s="79"/>
      <c r="N474" s="79"/>
      <c r="O474" s="79"/>
      <c r="P474" s="79"/>
      <c r="Q474" s="79">
        <f t="shared" si="21"/>
        <v>10157.960000000001</v>
      </c>
      <c r="R474" s="79">
        <f t="shared" si="22"/>
        <v>0</v>
      </c>
      <c r="S474" s="79">
        <f t="shared" si="23"/>
        <v>10157.960000000001</v>
      </c>
    </row>
    <row r="475" spans="1:19" x14ac:dyDescent="0.2">
      <c r="A475" s="102" t="s">
        <v>5147</v>
      </c>
      <c r="B475" s="71" t="s">
        <v>5183</v>
      </c>
      <c r="C475" s="76">
        <v>306</v>
      </c>
      <c r="D475" s="72" t="s">
        <v>5217</v>
      </c>
      <c r="E475" s="73" t="s">
        <v>19</v>
      </c>
      <c r="F475" s="75">
        <v>42212</v>
      </c>
      <c r="G475" s="82">
        <f>348.1+64.9+167.36+17.53+70+64.9+436.6+136.4+436.6+64.9</f>
        <v>1807.29</v>
      </c>
      <c r="H475" s="79"/>
      <c r="I475" s="79">
        <v>1500</v>
      </c>
      <c r="J475" s="79"/>
      <c r="K475" s="79"/>
      <c r="L475" s="79"/>
      <c r="M475" s="79"/>
      <c r="N475" s="79"/>
      <c r="O475" s="79"/>
      <c r="P475" s="79"/>
      <c r="Q475" s="79">
        <f t="shared" si="21"/>
        <v>3307.29</v>
      </c>
      <c r="R475" s="79">
        <f t="shared" si="22"/>
        <v>0</v>
      </c>
      <c r="S475" s="79">
        <f t="shared" si="23"/>
        <v>3307.29</v>
      </c>
    </row>
    <row r="476" spans="1:19" x14ac:dyDescent="0.2">
      <c r="A476" s="102" t="s">
        <v>5148</v>
      </c>
      <c r="B476" s="71" t="s">
        <v>5184</v>
      </c>
      <c r="C476" s="76">
        <v>307</v>
      </c>
      <c r="D476" s="72" t="s">
        <v>5218</v>
      </c>
      <c r="E476" s="73" t="s">
        <v>19</v>
      </c>
      <c r="F476" s="75">
        <v>42212</v>
      </c>
      <c r="G476" s="82">
        <f>150.53+137.18+180.92+139.01+117.1</f>
        <v>724.74</v>
      </c>
      <c r="H476" s="79"/>
      <c r="I476" s="79">
        <v>1125</v>
      </c>
      <c r="J476" s="79"/>
      <c r="K476" s="79"/>
      <c r="L476" s="79"/>
      <c r="M476" s="79"/>
      <c r="N476" s="79"/>
      <c r="O476" s="79"/>
      <c r="P476" s="79"/>
      <c r="Q476" s="79">
        <f t="shared" si="21"/>
        <v>1849.74</v>
      </c>
      <c r="R476" s="79">
        <f t="shared" si="22"/>
        <v>0</v>
      </c>
      <c r="S476" s="79">
        <f t="shared" si="23"/>
        <v>1849.74</v>
      </c>
    </row>
    <row r="477" spans="1:19" x14ac:dyDescent="0.2">
      <c r="A477" s="102" t="s">
        <v>5148</v>
      </c>
      <c r="B477" s="71" t="s">
        <v>5184</v>
      </c>
      <c r="C477" s="76">
        <v>307</v>
      </c>
      <c r="D477" s="72" t="s">
        <v>5219</v>
      </c>
      <c r="E477" s="73" t="s">
        <v>19</v>
      </c>
      <c r="F477" s="75">
        <v>42212</v>
      </c>
      <c r="G477" s="82">
        <f>268.32+178.27+150.53+204.25+139.01+168.08+173.3+119.97</f>
        <v>1401.73</v>
      </c>
      <c r="H477" s="79"/>
      <c r="I477" s="79">
        <f>1125</f>
        <v>1125</v>
      </c>
      <c r="J477" s="79"/>
      <c r="K477" s="79"/>
      <c r="L477" s="79"/>
      <c r="M477" s="79"/>
      <c r="N477" s="79"/>
      <c r="O477" s="79"/>
      <c r="P477" s="79"/>
      <c r="Q477" s="79">
        <f t="shared" si="21"/>
        <v>2526.73</v>
      </c>
      <c r="R477" s="79">
        <f t="shared" si="22"/>
        <v>0</v>
      </c>
      <c r="S477" s="79">
        <f t="shared" si="23"/>
        <v>2526.73</v>
      </c>
    </row>
    <row r="478" spans="1:19" x14ac:dyDescent="0.2">
      <c r="A478" s="102" t="s">
        <v>5148</v>
      </c>
      <c r="B478" s="71" t="s">
        <v>5184</v>
      </c>
      <c r="C478" s="76">
        <v>307</v>
      </c>
      <c r="D478" s="72" t="s">
        <v>5220</v>
      </c>
      <c r="E478" s="73" t="s">
        <v>19</v>
      </c>
      <c r="F478" s="75">
        <v>42212</v>
      </c>
      <c r="G478" s="82">
        <f>139.01+139.01+145.94+139.01+40</f>
        <v>602.97</v>
      </c>
      <c r="H478" s="79"/>
      <c r="I478" s="79">
        <v>1125</v>
      </c>
      <c r="J478" s="79"/>
      <c r="K478" s="79"/>
      <c r="L478" s="79"/>
      <c r="M478" s="79"/>
      <c r="N478" s="79"/>
      <c r="O478" s="79"/>
      <c r="P478" s="79"/>
      <c r="Q478" s="79">
        <f t="shared" si="21"/>
        <v>1727.97</v>
      </c>
      <c r="R478" s="79">
        <f t="shared" si="22"/>
        <v>0</v>
      </c>
      <c r="S478" s="79">
        <f t="shared" si="23"/>
        <v>1727.97</v>
      </c>
    </row>
    <row r="479" spans="1:19" x14ac:dyDescent="0.2">
      <c r="A479" s="102" t="s">
        <v>5148</v>
      </c>
      <c r="B479" s="71" t="s">
        <v>5184</v>
      </c>
      <c r="C479" s="76">
        <v>307</v>
      </c>
      <c r="D479" s="72" t="s">
        <v>5221</v>
      </c>
      <c r="E479" s="73" t="s">
        <v>19</v>
      </c>
      <c r="F479" s="75">
        <v>42212</v>
      </c>
      <c r="G479" s="82">
        <f>79.79+180.56+232.99+95.91+99.7</f>
        <v>688.95</v>
      </c>
      <c r="H479" s="79"/>
      <c r="I479" s="79">
        <v>1125</v>
      </c>
      <c r="J479" s="79"/>
      <c r="K479" s="79"/>
      <c r="L479" s="79"/>
      <c r="M479" s="79"/>
      <c r="N479" s="79"/>
      <c r="O479" s="79"/>
      <c r="P479" s="79"/>
      <c r="Q479" s="79">
        <f t="shared" si="21"/>
        <v>1813.95</v>
      </c>
      <c r="R479" s="79">
        <f t="shared" si="22"/>
        <v>0</v>
      </c>
      <c r="S479" s="79">
        <f t="shared" si="23"/>
        <v>1813.95</v>
      </c>
    </row>
    <row r="480" spans="1:19" x14ac:dyDescent="0.2">
      <c r="A480" s="102" t="s">
        <v>5148</v>
      </c>
      <c r="B480" s="71" t="s">
        <v>5184</v>
      </c>
      <c r="C480" s="76">
        <v>307</v>
      </c>
      <c r="D480" s="72" t="s">
        <v>5222</v>
      </c>
      <c r="E480" s="73" t="s">
        <v>19</v>
      </c>
      <c r="F480" s="75">
        <v>42212</v>
      </c>
      <c r="G480" s="82">
        <f>150.53+130.33+126.13+139.01+190.1</f>
        <v>736.1</v>
      </c>
      <c r="H480" s="79"/>
      <c r="I480" s="79">
        <v>1125</v>
      </c>
      <c r="J480" s="79"/>
      <c r="K480" s="79"/>
      <c r="L480" s="79"/>
      <c r="M480" s="79"/>
      <c r="N480" s="79"/>
      <c r="O480" s="79"/>
      <c r="P480" s="79"/>
      <c r="Q480" s="79">
        <f t="shared" si="21"/>
        <v>1861.1</v>
      </c>
      <c r="R480" s="79">
        <f t="shared" si="22"/>
        <v>0</v>
      </c>
      <c r="S480" s="79">
        <f t="shared" si="23"/>
        <v>1861.1</v>
      </c>
    </row>
    <row r="481" spans="1:19" x14ac:dyDescent="0.2">
      <c r="A481" s="102" t="s">
        <v>5149</v>
      </c>
      <c r="B481" s="71" t="s">
        <v>5185</v>
      </c>
      <c r="C481" s="76">
        <v>308</v>
      </c>
      <c r="D481" s="72" t="s">
        <v>5223</v>
      </c>
      <c r="E481" s="73" t="s">
        <v>19</v>
      </c>
      <c r="F481" s="75">
        <v>42212</v>
      </c>
      <c r="G481" s="82">
        <f>115</f>
        <v>115</v>
      </c>
      <c r="H481" s="79"/>
      <c r="I481" s="79"/>
      <c r="J481" s="79"/>
      <c r="K481" s="79"/>
      <c r="L481" s="79"/>
      <c r="M481" s="79"/>
      <c r="N481" s="79"/>
      <c r="O481" s="79"/>
      <c r="P481" s="79"/>
      <c r="Q481" s="79">
        <f t="shared" si="21"/>
        <v>115</v>
      </c>
      <c r="R481" s="79">
        <f t="shared" si="22"/>
        <v>0</v>
      </c>
      <c r="S481" s="79">
        <f t="shared" si="23"/>
        <v>115</v>
      </c>
    </row>
    <row r="482" spans="1:19" x14ac:dyDescent="0.2">
      <c r="A482" s="102" t="s">
        <v>5150</v>
      </c>
      <c r="B482" s="71" t="s">
        <v>5186</v>
      </c>
      <c r="C482" s="76">
        <v>309</v>
      </c>
      <c r="D482" s="72" t="s">
        <v>5224</v>
      </c>
      <c r="E482" s="73" t="s">
        <v>19</v>
      </c>
      <c r="F482" s="75">
        <v>42213</v>
      </c>
      <c r="G482" s="82">
        <f>183.6</f>
        <v>183.6</v>
      </c>
      <c r="H482" s="79"/>
      <c r="I482" s="79"/>
      <c r="J482" s="79"/>
      <c r="K482" s="79"/>
      <c r="L482" s="79"/>
      <c r="M482" s="79"/>
      <c r="N482" s="79"/>
      <c r="O482" s="79"/>
      <c r="P482" s="79"/>
      <c r="Q482" s="79">
        <f t="shared" si="21"/>
        <v>183.6</v>
      </c>
      <c r="R482" s="79">
        <f t="shared" si="22"/>
        <v>0</v>
      </c>
      <c r="S482" s="79">
        <f t="shared" si="23"/>
        <v>183.6</v>
      </c>
    </row>
    <row r="483" spans="1:19" x14ac:dyDescent="0.2">
      <c r="A483" s="102" t="s">
        <v>5151</v>
      </c>
      <c r="B483" s="71" t="s">
        <v>5187</v>
      </c>
      <c r="C483" s="76">
        <v>310</v>
      </c>
      <c r="D483" s="72" t="s">
        <v>5225</v>
      </c>
      <c r="E483" s="73" t="s">
        <v>19</v>
      </c>
      <c r="F483" s="75">
        <v>42215</v>
      </c>
      <c r="G483" s="82">
        <f>240+3848.6+41.3+3640+80.33+41.3+41.3+41.3+2351.51+580.97+408.22+240+80.33+232.12</f>
        <v>11867.279999999999</v>
      </c>
      <c r="H483" s="79"/>
      <c r="I483" s="79">
        <v>1975</v>
      </c>
      <c r="J483" s="79"/>
      <c r="K483" s="79"/>
      <c r="L483" s="79"/>
      <c r="M483" s="79"/>
      <c r="N483" s="79"/>
      <c r="O483" s="79"/>
      <c r="P483" s="79"/>
      <c r="Q483" s="79">
        <f t="shared" si="21"/>
        <v>13842.279999999999</v>
      </c>
      <c r="R483" s="79">
        <f t="shared" si="22"/>
        <v>0</v>
      </c>
      <c r="S483" s="79">
        <f t="shared" si="23"/>
        <v>13842.279999999999</v>
      </c>
    </row>
    <row r="484" spans="1:19" x14ac:dyDescent="0.2">
      <c r="A484" s="102" t="s">
        <v>5152</v>
      </c>
      <c r="B484" s="71" t="s">
        <v>5188</v>
      </c>
      <c r="C484" s="76">
        <v>311</v>
      </c>
      <c r="D484" s="72" t="s">
        <v>5226</v>
      </c>
      <c r="E484" s="73" t="s">
        <v>19</v>
      </c>
      <c r="F484" s="75">
        <v>42215</v>
      </c>
      <c r="G484" s="82">
        <f>48</f>
        <v>48</v>
      </c>
      <c r="H484" s="79"/>
      <c r="I484" s="79"/>
      <c r="J484" s="79"/>
      <c r="K484" s="79"/>
      <c r="L484" s="79"/>
      <c r="M484" s="79"/>
      <c r="N484" s="79"/>
      <c r="O484" s="79"/>
      <c r="P484" s="79"/>
      <c r="Q484" s="79">
        <f t="shared" si="21"/>
        <v>48</v>
      </c>
      <c r="R484" s="79">
        <f t="shared" si="22"/>
        <v>0</v>
      </c>
      <c r="S484" s="79">
        <f t="shared" si="23"/>
        <v>48</v>
      </c>
    </row>
    <row r="485" spans="1:19" x14ac:dyDescent="0.2">
      <c r="A485" s="102" t="s">
        <v>5153</v>
      </c>
      <c r="B485" s="71" t="s">
        <v>5189</v>
      </c>
      <c r="C485" s="76">
        <v>312</v>
      </c>
      <c r="D485" s="72" t="s">
        <v>5227</v>
      </c>
      <c r="E485" s="73" t="s">
        <v>19</v>
      </c>
      <c r="F485" s="75">
        <v>42215</v>
      </c>
      <c r="G485" s="82">
        <f>162</f>
        <v>162</v>
      </c>
      <c r="H485" s="79"/>
      <c r="I485" s="79"/>
      <c r="J485" s="79"/>
      <c r="K485" s="79"/>
      <c r="L485" s="79"/>
      <c r="M485" s="79"/>
      <c r="N485" s="79"/>
      <c r="O485" s="79"/>
      <c r="P485" s="79"/>
      <c r="Q485" s="79">
        <f t="shared" si="21"/>
        <v>162</v>
      </c>
      <c r="R485" s="79">
        <f t="shared" si="22"/>
        <v>0</v>
      </c>
      <c r="S485" s="79">
        <f t="shared" si="23"/>
        <v>162</v>
      </c>
    </row>
    <row r="486" spans="1:19" x14ac:dyDescent="0.2">
      <c r="A486" s="102" t="s">
        <v>5154</v>
      </c>
      <c r="B486" s="71" t="s">
        <v>5190</v>
      </c>
      <c r="C486" s="76">
        <v>313</v>
      </c>
      <c r="D486" s="72" t="s">
        <v>5228</v>
      </c>
      <c r="E486" s="73" t="s">
        <v>19</v>
      </c>
      <c r="F486" s="75">
        <v>42215</v>
      </c>
      <c r="G486" s="82">
        <f>165.7</f>
        <v>165.7</v>
      </c>
      <c r="H486" s="79"/>
      <c r="I486" s="79"/>
      <c r="J486" s="79"/>
      <c r="K486" s="79"/>
      <c r="L486" s="79"/>
      <c r="M486" s="79"/>
      <c r="N486" s="79"/>
      <c r="O486" s="79"/>
      <c r="P486" s="79"/>
      <c r="Q486" s="79">
        <f t="shared" si="21"/>
        <v>165.7</v>
      </c>
      <c r="R486" s="79">
        <f t="shared" si="22"/>
        <v>0</v>
      </c>
      <c r="S486" s="79">
        <f t="shared" si="23"/>
        <v>165.7</v>
      </c>
    </row>
    <row r="487" spans="1:19" x14ac:dyDescent="0.2">
      <c r="A487" s="102" t="s">
        <v>5155</v>
      </c>
      <c r="B487" s="71" t="s">
        <v>5191</v>
      </c>
      <c r="C487" s="76">
        <v>314</v>
      </c>
      <c r="D487" s="73" t="s">
        <v>5229</v>
      </c>
      <c r="E487" s="73" t="s">
        <v>19</v>
      </c>
      <c r="F487" s="105">
        <v>42217</v>
      </c>
      <c r="G487" s="82">
        <f>195.86</f>
        <v>195.86</v>
      </c>
      <c r="H487" s="79"/>
      <c r="I487" s="79"/>
      <c r="J487" s="79"/>
      <c r="K487" s="79"/>
      <c r="L487" s="79"/>
      <c r="M487" s="79"/>
      <c r="N487" s="79"/>
      <c r="O487" s="79"/>
      <c r="P487" s="79"/>
      <c r="Q487" s="79">
        <f t="shared" si="21"/>
        <v>195.86</v>
      </c>
      <c r="R487" s="79">
        <f t="shared" si="22"/>
        <v>0</v>
      </c>
      <c r="S487" s="79">
        <f t="shared" si="23"/>
        <v>195.86</v>
      </c>
    </row>
    <row r="488" spans="1:19" x14ac:dyDescent="0.2">
      <c r="A488" s="102" t="s">
        <v>5155</v>
      </c>
      <c r="B488" s="71" t="s">
        <v>5191</v>
      </c>
      <c r="C488" s="76">
        <v>314</v>
      </c>
      <c r="D488" s="73" t="s">
        <v>5230</v>
      </c>
      <c r="E488" s="73" t="s">
        <v>19</v>
      </c>
      <c r="F488" s="105">
        <v>42217</v>
      </c>
      <c r="G488" s="82">
        <f>361.86+100.72+100.72</f>
        <v>563.30000000000007</v>
      </c>
      <c r="H488" s="79"/>
      <c r="I488" s="79">
        <f>125+550</f>
        <v>675</v>
      </c>
      <c r="J488" s="79"/>
      <c r="K488" s="79"/>
      <c r="L488" s="79"/>
      <c r="M488" s="79"/>
      <c r="N488" s="79"/>
      <c r="O488" s="79"/>
      <c r="P488" s="79"/>
      <c r="Q488" s="79">
        <f t="shared" si="21"/>
        <v>1238.3000000000002</v>
      </c>
      <c r="R488" s="79">
        <f t="shared" si="22"/>
        <v>0</v>
      </c>
      <c r="S488" s="79">
        <f t="shared" si="23"/>
        <v>1238.3000000000002</v>
      </c>
    </row>
    <row r="489" spans="1:19" x14ac:dyDescent="0.2">
      <c r="A489" s="102" t="s">
        <v>5156</v>
      </c>
      <c r="B489" s="71" t="s">
        <v>5192</v>
      </c>
      <c r="C489" s="76">
        <v>315</v>
      </c>
      <c r="D489" s="72" t="s">
        <v>5231</v>
      </c>
      <c r="E489" s="73" t="s">
        <v>5261</v>
      </c>
      <c r="F489" s="105">
        <v>42216</v>
      </c>
      <c r="G489" s="82">
        <f>398.96</f>
        <v>398.96</v>
      </c>
      <c r="H489" s="79"/>
      <c r="I489" s="79"/>
      <c r="J489" s="79"/>
      <c r="K489" s="79"/>
      <c r="L489" s="79"/>
      <c r="M489" s="79"/>
      <c r="N489" s="79"/>
      <c r="O489" s="79"/>
      <c r="P489" s="79"/>
      <c r="Q489" s="79">
        <f t="shared" si="21"/>
        <v>398.96</v>
      </c>
      <c r="R489" s="79">
        <f t="shared" si="22"/>
        <v>0</v>
      </c>
      <c r="S489" s="79">
        <f t="shared" si="23"/>
        <v>398.96</v>
      </c>
    </row>
    <row r="490" spans="1:19" x14ac:dyDescent="0.2">
      <c r="A490" s="102" t="s">
        <v>5157</v>
      </c>
      <c r="B490" s="71" t="s">
        <v>125</v>
      </c>
      <c r="C490" s="76">
        <v>316</v>
      </c>
      <c r="D490" s="72" t="s">
        <v>5232</v>
      </c>
      <c r="E490" s="73" t="s">
        <v>19</v>
      </c>
      <c r="F490" s="105">
        <v>42219</v>
      </c>
      <c r="G490" s="82">
        <f>95</f>
        <v>95</v>
      </c>
      <c r="H490" s="79"/>
      <c r="I490" s="79"/>
      <c r="J490" s="79"/>
      <c r="K490" s="79"/>
      <c r="L490" s="79"/>
      <c r="M490" s="79"/>
      <c r="N490" s="79"/>
      <c r="O490" s="79"/>
      <c r="P490" s="79"/>
      <c r="Q490" s="79">
        <f t="shared" si="21"/>
        <v>95</v>
      </c>
      <c r="R490" s="79">
        <f t="shared" si="22"/>
        <v>0</v>
      </c>
      <c r="S490" s="79">
        <f t="shared" si="23"/>
        <v>95</v>
      </c>
    </row>
    <row r="491" spans="1:19" x14ac:dyDescent="0.2">
      <c r="A491" s="102" t="s">
        <v>5157</v>
      </c>
      <c r="B491" s="71" t="s">
        <v>125</v>
      </c>
      <c r="C491" s="76">
        <v>316</v>
      </c>
      <c r="D491" s="73" t="s">
        <v>5233</v>
      </c>
      <c r="E491" s="73" t="s">
        <v>19</v>
      </c>
      <c r="F491" s="105">
        <v>42219</v>
      </c>
      <c r="G491" s="82"/>
      <c r="H491" s="79"/>
      <c r="I491" s="79"/>
      <c r="J491" s="79"/>
      <c r="K491" s="79"/>
      <c r="L491" s="79"/>
      <c r="M491" s="79"/>
      <c r="N491" s="79"/>
      <c r="O491" s="79"/>
      <c r="P491" s="79"/>
      <c r="Q491" s="79">
        <f t="shared" si="21"/>
        <v>0</v>
      </c>
      <c r="R491" s="79">
        <f t="shared" si="22"/>
        <v>0</v>
      </c>
      <c r="S491" s="79">
        <f t="shared" si="23"/>
        <v>0</v>
      </c>
    </row>
    <row r="492" spans="1:19" x14ac:dyDescent="0.2">
      <c r="A492" s="102" t="s">
        <v>5157</v>
      </c>
      <c r="B492" s="71" t="s">
        <v>125</v>
      </c>
      <c r="C492" s="76">
        <v>316</v>
      </c>
      <c r="D492" s="73" t="s">
        <v>5234</v>
      </c>
      <c r="E492" s="73" t="s">
        <v>19</v>
      </c>
      <c r="F492" s="105">
        <v>42219</v>
      </c>
      <c r="G492" s="82">
        <f>151</f>
        <v>151</v>
      </c>
      <c r="H492" s="79"/>
      <c r="I492" s="79"/>
      <c r="J492" s="79"/>
      <c r="K492" s="79"/>
      <c r="L492" s="79"/>
      <c r="M492" s="79"/>
      <c r="N492" s="79"/>
      <c r="O492" s="79"/>
      <c r="P492" s="79"/>
      <c r="Q492" s="79">
        <f t="shared" si="21"/>
        <v>151</v>
      </c>
      <c r="R492" s="79">
        <f t="shared" si="22"/>
        <v>0</v>
      </c>
      <c r="S492" s="79">
        <f t="shared" si="23"/>
        <v>151</v>
      </c>
    </row>
    <row r="493" spans="1:19" x14ac:dyDescent="0.2">
      <c r="A493" s="102" t="s">
        <v>5157</v>
      </c>
      <c r="B493" s="71" t="s">
        <v>125</v>
      </c>
      <c r="C493" s="76">
        <v>316</v>
      </c>
      <c r="D493" s="73" t="s">
        <v>5235</v>
      </c>
      <c r="E493" s="73" t="s">
        <v>19</v>
      </c>
      <c r="F493" s="105">
        <v>42219</v>
      </c>
      <c r="G493" s="82"/>
      <c r="H493" s="79"/>
      <c r="I493" s="79"/>
      <c r="J493" s="79"/>
      <c r="K493" s="79"/>
      <c r="L493" s="79"/>
      <c r="M493" s="79"/>
      <c r="N493" s="79"/>
      <c r="O493" s="79"/>
      <c r="P493" s="79"/>
      <c r="Q493" s="79">
        <f t="shared" si="21"/>
        <v>0</v>
      </c>
      <c r="R493" s="79">
        <f t="shared" si="22"/>
        <v>0</v>
      </c>
      <c r="S493" s="79">
        <f t="shared" si="23"/>
        <v>0</v>
      </c>
    </row>
    <row r="494" spans="1:19" x14ac:dyDescent="0.2">
      <c r="A494" s="102" t="s">
        <v>5157</v>
      </c>
      <c r="B494" s="71" t="s">
        <v>125</v>
      </c>
      <c r="C494" s="76">
        <v>316</v>
      </c>
      <c r="D494" s="73" t="s">
        <v>5236</v>
      </c>
      <c r="E494" s="73" t="s">
        <v>19</v>
      </c>
      <c r="F494" s="105">
        <v>42219</v>
      </c>
      <c r="G494" s="82">
        <f>184</f>
        <v>184</v>
      </c>
      <c r="H494" s="79"/>
      <c r="I494" s="79"/>
      <c r="J494" s="79"/>
      <c r="K494" s="79"/>
      <c r="L494" s="79"/>
      <c r="M494" s="79"/>
      <c r="N494" s="79"/>
      <c r="O494" s="79"/>
      <c r="P494" s="79"/>
      <c r="Q494" s="79">
        <f t="shared" si="21"/>
        <v>184</v>
      </c>
      <c r="R494" s="79">
        <f t="shared" si="22"/>
        <v>0</v>
      </c>
      <c r="S494" s="79">
        <f t="shared" si="23"/>
        <v>184</v>
      </c>
    </row>
    <row r="495" spans="1:19" x14ac:dyDescent="0.2">
      <c r="A495" s="102" t="s">
        <v>5157</v>
      </c>
      <c r="B495" s="71" t="s">
        <v>125</v>
      </c>
      <c r="C495" s="76">
        <v>316</v>
      </c>
      <c r="D495" s="73" t="s">
        <v>5237</v>
      </c>
      <c r="E495" s="73" t="s">
        <v>19</v>
      </c>
      <c r="F495" s="105">
        <v>42219</v>
      </c>
      <c r="G495" s="82">
        <f>83.8</f>
        <v>83.8</v>
      </c>
      <c r="H495" s="79"/>
      <c r="I495" s="79"/>
      <c r="J495" s="79"/>
      <c r="K495" s="79"/>
      <c r="L495" s="79"/>
      <c r="M495" s="79"/>
      <c r="N495" s="79"/>
      <c r="O495" s="79"/>
      <c r="P495" s="79"/>
      <c r="Q495" s="79">
        <f t="shared" si="21"/>
        <v>83.8</v>
      </c>
      <c r="R495" s="79">
        <f t="shared" si="22"/>
        <v>0</v>
      </c>
      <c r="S495" s="79">
        <f t="shared" si="23"/>
        <v>83.8</v>
      </c>
    </row>
    <row r="496" spans="1:19" x14ac:dyDescent="0.2">
      <c r="A496" s="102" t="s">
        <v>5158</v>
      </c>
      <c r="B496" s="71" t="s">
        <v>5193</v>
      </c>
      <c r="C496" s="76">
        <v>317</v>
      </c>
      <c r="D496" s="72" t="s">
        <v>5238</v>
      </c>
      <c r="E496" s="73" t="s">
        <v>19</v>
      </c>
      <c r="F496" s="105">
        <v>42220</v>
      </c>
      <c r="G496" s="82">
        <f>1475.8</f>
        <v>1475.8</v>
      </c>
      <c r="H496" s="79"/>
      <c r="I496" s="79"/>
      <c r="J496" s="79"/>
      <c r="K496" s="79"/>
      <c r="L496" s="79"/>
      <c r="M496" s="79"/>
      <c r="N496" s="79"/>
      <c r="O496" s="79"/>
      <c r="P496" s="79"/>
      <c r="Q496" s="79">
        <f t="shared" si="21"/>
        <v>1475.8</v>
      </c>
      <c r="R496" s="79">
        <f t="shared" si="22"/>
        <v>0</v>
      </c>
      <c r="S496" s="79">
        <f t="shared" si="23"/>
        <v>1475.8</v>
      </c>
    </row>
    <row r="497" spans="1:19" x14ac:dyDescent="0.2">
      <c r="A497" s="102" t="s">
        <v>5159</v>
      </c>
      <c r="B497" s="71" t="s">
        <v>5194</v>
      </c>
      <c r="C497" s="76">
        <v>318</v>
      </c>
      <c r="D497" s="72" t="s">
        <v>5239</v>
      </c>
      <c r="E497" s="73" t="s">
        <v>19</v>
      </c>
      <c r="F497" s="105">
        <v>42220</v>
      </c>
      <c r="G497" s="82">
        <f>207.33</f>
        <v>207.33</v>
      </c>
      <c r="H497" s="79"/>
      <c r="I497" s="79"/>
      <c r="J497" s="79"/>
      <c r="K497" s="79"/>
      <c r="L497" s="79"/>
      <c r="M497" s="79"/>
      <c r="N497" s="79"/>
      <c r="O497" s="79"/>
      <c r="P497" s="79"/>
      <c r="Q497" s="79">
        <f t="shared" si="21"/>
        <v>207.33</v>
      </c>
      <c r="R497" s="79">
        <f t="shared" si="22"/>
        <v>0</v>
      </c>
      <c r="S497" s="79">
        <f t="shared" si="23"/>
        <v>207.33</v>
      </c>
    </row>
    <row r="498" spans="1:19" x14ac:dyDescent="0.2">
      <c r="A498" s="102" t="s">
        <v>5160</v>
      </c>
      <c r="B498" s="71" t="s">
        <v>5195</v>
      </c>
      <c r="C498" s="76">
        <v>319</v>
      </c>
      <c r="D498" s="72" t="s">
        <v>5240</v>
      </c>
      <c r="E498" s="73" t="s">
        <v>19</v>
      </c>
      <c r="F498" s="105">
        <v>42220</v>
      </c>
      <c r="G498" s="82">
        <f>182.57</f>
        <v>182.57</v>
      </c>
      <c r="H498" s="79"/>
      <c r="I498" s="79"/>
      <c r="J498" s="79"/>
      <c r="K498" s="79"/>
      <c r="L498" s="79"/>
      <c r="M498" s="79"/>
      <c r="N498" s="79"/>
      <c r="O498" s="79"/>
      <c r="P498" s="79"/>
      <c r="Q498" s="79">
        <f t="shared" si="21"/>
        <v>182.57</v>
      </c>
      <c r="R498" s="79">
        <f t="shared" si="22"/>
        <v>0</v>
      </c>
      <c r="S498" s="79">
        <f t="shared" si="23"/>
        <v>182.57</v>
      </c>
    </row>
    <row r="499" spans="1:19" x14ac:dyDescent="0.2">
      <c r="A499" s="102" t="s">
        <v>5161</v>
      </c>
      <c r="B499" s="71" t="s">
        <v>715</v>
      </c>
      <c r="C499" s="76">
        <v>320</v>
      </c>
      <c r="D499" s="72" t="s">
        <v>5241</v>
      </c>
      <c r="E499" s="73" t="s">
        <v>19</v>
      </c>
      <c r="F499" s="105">
        <v>42221</v>
      </c>
      <c r="G499" s="82">
        <f>40.5</f>
        <v>40.5</v>
      </c>
      <c r="H499" s="79"/>
      <c r="I499" s="79"/>
      <c r="J499" s="79"/>
      <c r="K499" s="79"/>
      <c r="L499" s="79"/>
      <c r="M499" s="79"/>
      <c r="N499" s="79"/>
      <c r="O499" s="79"/>
      <c r="P499" s="79"/>
      <c r="Q499" s="79">
        <f t="shared" si="21"/>
        <v>40.5</v>
      </c>
      <c r="R499" s="79">
        <f t="shared" si="22"/>
        <v>0</v>
      </c>
      <c r="S499" s="79">
        <f t="shared" si="23"/>
        <v>40.5</v>
      </c>
    </row>
    <row r="500" spans="1:19" x14ac:dyDescent="0.2">
      <c r="A500" s="102" t="s">
        <v>5162</v>
      </c>
      <c r="B500" s="71" t="s">
        <v>5196</v>
      </c>
      <c r="C500" s="76">
        <v>321</v>
      </c>
      <c r="D500" s="72" t="s">
        <v>5242</v>
      </c>
      <c r="E500" s="73" t="s">
        <v>19</v>
      </c>
      <c r="F500" s="105">
        <v>42222</v>
      </c>
      <c r="G500" s="82">
        <f>93.52</f>
        <v>93.52</v>
      </c>
      <c r="H500" s="79"/>
      <c r="I500" s="79"/>
      <c r="J500" s="79"/>
      <c r="K500" s="79"/>
      <c r="L500" s="79"/>
      <c r="M500" s="79"/>
      <c r="N500" s="79"/>
      <c r="O500" s="79"/>
      <c r="P500" s="79"/>
      <c r="Q500" s="79">
        <f t="shared" si="21"/>
        <v>93.52</v>
      </c>
      <c r="R500" s="79">
        <f t="shared" si="22"/>
        <v>0</v>
      </c>
      <c r="S500" s="79">
        <f t="shared" si="23"/>
        <v>93.52</v>
      </c>
    </row>
    <row r="501" spans="1:19" x14ac:dyDescent="0.2">
      <c r="A501" s="102" t="s">
        <v>5162</v>
      </c>
      <c r="B501" s="71" t="s">
        <v>5196</v>
      </c>
      <c r="C501" s="76">
        <v>321</v>
      </c>
      <c r="D501" s="72" t="s">
        <v>5243</v>
      </c>
      <c r="E501" s="73" t="s">
        <v>19</v>
      </c>
      <c r="F501" s="105">
        <v>42222</v>
      </c>
      <c r="G501" s="82">
        <f>85.2</f>
        <v>85.2</v>
      </c>
      <c r="H501" s="79"/>
      <c r="I501" s="79"/>
      <c r="J501" s="79"/>
      <c r="K501" s="79"/>
      <c r="L501" s="79"/>
      <c r="M501" s="79"/>
      <c r="N501" s="79"/>
      <c r="O501" s="79"/>
      <c r="P501" s="79"/>
      <c r="Q501" s="79">
        <f t="shared" si="21"/>
        <v>85.2</v>
      </c>
      <c r="R501" s="79">
        <f t="shared" si="22"/>
        <v>0</v>
      </c>
      <c r="S501" s="79">
        <f t="shared" si="23"/>
        <v>85.2</v>
      </c>
    </row>
    <row r="502" spans="1:19" x14ac:dyDescent="0.2">
      <c r="A502" s="102" t="s">
        <v>5162</v>
      </c>
      <c r="B502" s="71" t="s">
        <v>5196</v>
      </c>
      <c r="C502" s="76">
        <v>321</v>
      </c>
      <c r="D502" s="72" t="s">
        <v>5244</v>
      </c>
      <c r="E502" s="73" t="s">
        <v>19</v>
      </c>
      <c r="F502" s="105">
        <v>42222</v>
      </c>
      <c r="G502" s="82">
        <f>92.69</f>
        <v>92.69</v>
      </c>
      <c r="H502" s="79"/>
      <c r="I502" s="79"/>
      <c r="J502" s="79"/>
      <c r="K502" s="79"/>
      <c r="L502" s="79"/>
      <c r="M502" s="79"/>
      <c r="N502" s="79"/>
      <c r="O502" s="79"/>
      <c r="P502" s="79"/>
      <c r="Q502" s="79">
        <f t="shared" si="21"/>
        <v>92.69</v>
      </c>
      <c r="R502" s="79">
        <f t="shared" si="22"/>
        <v>0</v>
      </c>
      <c r="S502" s="79">
        <f t="shared" si="23"/>
        <v>92.69</v>
      </c>
    </row>
    <row r="503" spans="1:19" x14ac:dyDescent="0.2">
      <c r="A503" s="102" t="s">
        <v>5163</v>
      </c>
      <c r="B503" s="71" t="s">
        <v>5197</v>
      </c>
      <c r="C503" s="76">
        <v>322</v>
      </c>
      <c r="D503" s="72" t="s">
        <v>5245</v>
      </c>
      <c r="E503" s="73" t="s">
        <v>19</v>
      </c>
      <c r="F503" s="105">
        <v>42222</v>
      </c>
      <c r="G503" s="82">
        <f>172.4</f>
        <v>172.4</v>
      </c>
      <c r="H503" s="79"/>
      <c r="I503" s="79"/>
      <c r="J503" s="79"/>
      <c r="K503" s="79"/>
      <c r="L503" s="79"/>
      <c r="M503" s="79"/>
      <c r="N503" s="79"/>
      <c r="O503" s="79"/>
      <c r="P503" s="79"/>
      <c r="Q503" s="79">
        <f t="shared" si="21"/>
        <v>172.4</v>
      </c>
      <c r="R503" s="79">
        <f t="shared" si="22"/>
        <v>0</v>
      </c>
      <c r="S503" s="79">
        <f t="shared" si="23"/>
        <v>172.4</v>
      </c>
    </row>
    <row r="504" spans="1:19" x14ac:dyDescent="0.2">
      <c r="A504" s="102" t="s">
        <v>5164</v>
      </c>
      <c r="B504" s="71" t="s">
        <v>5198</v>
      </c>
      <c r="C504" s="76">
        <v>323</v>
      </c>
      <c r="D504" s="73" t="s">
        <v>5246</v>
      </c>
      <c r="E504" s="73" t="s">
        <v>19</v>
      </c>
      <c r="F504" s="105">
        <v>42222</v>
      </c>
      <c r="G504" s="82">
        <f>101</f>
        <v>101</v>
      </c>
      <c r="H504" s="79"/>
      <c r="I504" s="79"/>
      <c r="J504" s="79"/>
      <c r="K504" s="79"/>
      <c r="L504" s="79"/>
      <c r="M504" s="79"/>
      <c r="N504" s="79"/>
      <c r="O504" s="79"/>
      <c r="P504" s="79"/>
      <c r="Q504" s="79">
        <f t="shared" si="21"/>
        <v>101</v>
      </c>
      <c r="R504" s="79">
        <f t="shared" si="22"/>
        <v>0</v>
      </c>
      <c r="S504" s="79">
        <f t="shared" si="23"/>
        <v>101</v>
      </c>
    </row>
    <row r="505" spans="1:19" x14ac:dyDescent="0.2">
      <c r="A505" s="102" t="s">
        <v>5165</v>
      </c>
      <c r="B505" s="71" t="s">
        <v>5199</v>
      </c>
      <c r="C505" s="76">
        <v>324</v>
      </c>
      <c r="D505" s="72" t="s">
        <v>5247</v>
      </c>
      <c r="E505" s="73" t="s">
        <v>19</v>
      </c>
      <c r="F505" s="105">
        <v>42223</v>
      </c>
      <c r="G505" s="82">
        <f>116.4</f>
        <v>116.4</v>
      </c>
      <c r="H505" s="79"/>
      <c r="I505" s="79"/>
      <c r="J505" s="79"/>
      <c r="K505" s="79"/>
      <c r="L505" s="79"/>
      <c r="M505" s="79"/>
      <c r="N505" s="79"/>
      <c r="O505" s="79"/>
      <c r="P505" s="79"/>
      <c r="Q505" s="79">
        <f t="shared" si="21"/>
        <v>116.4</v>
      </c>
      <c r="R505" s="79">
        <f t="shared" si="22"/>
        <v>0</v>
      </c>
      <c r="S505" s="79">
        <f t="shared" si="23"/>
        <v>116.4</v>
      </c>
    </row>
    <row r="506" spans="1:19" x14ac:dyDescent="0.2">
      <c r="A506" s="102" t="s">
        <v>5166</v>
      </c>
      <c r="B506" s="71" t="s">
        <v>5200</v>
      </c>
      <c r="C506" s="76">
        <v>325</v>
      </c>
      <c r="D506" s="72" t="s">
        <v>5248</v>
      </c>
      <c r="E506" s="73" t="s">
        <v>19</v>
      </c>
      <c r="F506" s="105">
        <v>42223</v>
      </c>
      <c r="G506" s="82">
        <f>41.3+240+41.3+244.72+154.33+101.6+154.33</f>
        <v>977.58000000000015</v>
      </c>
      <c r="H506" s="79"/>
      <c r="I506" s="79">
        <v>1875</v>
      </c>
      <c r="J506" s="79"/>
      <c r="K506" s="79"/>
      <c r="L506" s="79"/>
      <c r="M506" s="79"/>
      <c r="N506" s="79"/>
      <c r="O506" s="79"/>
      <c r="P506" s="79"/>
      <c r="Q506" s="79">
        <f t="shared" si="21"/>
        <v>2852.58</v>
      </c>
      <c r="R506" s="79">
        <f t="shared" si="22"/>
        <v>0</v>
      </c>
      <c r="S506" s="79">
        <f t="shared" si="23"/>
        <v>2852.58</v>
      </c>
    </row>
    <row r="507" spans="1:19" x14ac:dyDescent="0.2">
      <c r="A507" s="102" t="s">
        <v>5166</v>
      </c>
      <c r="B507" s="71" t="s">
        <v>5200</v>
      </c>
      <c r="C507" s="76">
        <v>325</v>
      </c>
      <c r="D507" s="72" t="s">
        <v>5249</v>
      </c>
      <c r="E507" s="73" t="s">
        <v>19</v>
      </c>
      <c r="F507" s="105">
        <v>42223</v>
      </c>
      <c r="G507" s="82">
        <f>101.34+236.6+272.7+334.4+263.8+41.3+73.93+86.39+41.3</f>
        <v>1451.76</v>
      </c>
      <c r="H507" s="79"/>
      <c r="I507" s="79"/>
      <c r="J507" s="79"/>
      <c r="K507" s="79"/>
      <c r="L507" s="79"/>
      <c r="M507" s="79"/>
      <c r="N507" s="79"/>
      <c r="O507" s="79"/>
      <c r="P507" s="79"/>
      <c r="Q507" s="79">
        <f t="shared" si="21"/>
        <v>1451.76</v>
      </c>
      <c r="R507" s="79">
        <f t="shared" si="22"/>
        <v>0</v>
      </c>
      <c r="S507" s="79">
        <f t="shared" si="23"/>
        <v>1451.76</v>
      </c>
    </row>
    <row r="508" spans="1:19" x14ac:dyDescent="0.2">
      <c r="A508" s="102" t="s">
        <v>5166</v>
      </c>
      <c r="B508" s="71" t="s">
        <v>5200</v>
      </c>
      <c r="C508" s="76">
        <v>325</v>
      </c>
      <c r="D508" s="72" t="s">
        <v>5250</v>
      </c>
      <c r="E508" s="73" t="s">
        <v>19</v>
      </c>
      <c r="F508" s="105">
        <v>42223</v>
      </c>
      <c r="G508" s="82">
        <f>148.4</f>
        <v>148.4</v>
      </c>
      <c r="H508" s="79"/>
      <c r="I508" s="79"/>
      <c r="J508" s="79"/>
      <c r="K508" s="79"/>
      <c r="L508" s="79"/>
      <c r="M508" s="79"/>
      <c r="N508" s="79"/>
      <c r="O508" s="79"/>
      <c r="P508" s="79"/>
      <c r="Q508" s="79">
        <f t="shared" si="21"/>
        <v>148.4</v>
      </c>
      <c r="R508" s="79">
        <f t="shared" si="22"/>
        <v>0</v>
      </c>
      <c r="S508" s="79">
        <f t="shared" si="23"/>
        <v>148.4</v>
      </c>
    </row>
    <row r="509" spans="1:19" x14ac:dyDescent="0.2">
      <c r="A509" s="102" t="s">
        <v>5167</v>
      </c>
      <c r="B509" s="71" t="s">
        <v>5201</v>
      </c>
      <c r="C509" s="76">
        <v>326</v>
      </c>
      <c r="D509" s="72" t="s">
        <v>5251</v>
      </c>
      <c r="E509" s="73" t="s">
        <v>19</v>
      </c>
      <c r="F509" s="105">
        <v>42226</v>
      </c>
      <c r="G509" s="82">
        <f>117.47</f>
        <v>117.47</v>
      </c>
      <c r="H509" s="79"/>
      <c r="I509" s="79"/>
      <c r="J509" s="79"/>
      <c r="K509" s="79"/>
      <c r="L509" s="79"/>
      <c r="M509" s="79"/>
      <c r="N509" s="79"/>
      <c r="O509" s="79"/>
      <c r="P509" s="79"/>
      <c r="Q509" s="79">
        <f t="shared" si="21"/>
        <v>117.47</v>
      </c>
      <c r="R509" s="79">
        <f t="shared" si="22"/>
        <v>0</v>
      </c>
      <c r="S509" s="79">
        <f t="shared" si="23"/>
        <v>117.47</v>
      </c>
    </row>
    <row r="510" spans="1:19" x14ac:dyDescent="0.2">
      <c r="A510" s="102" t="s">
        <v>5168</v>
      </c>
      <c r="B510" s="71" t="s">
        <v>5202</v>
      </c>
      <c r="C510" s="76">
        <v>327</v>
      </c>
      <c r="D510" s="72" t="s">
        <v>5252</v>
      </c>
      <c r="E510" s="73" t="s">
        <v>19</v>
      </c>
      <c r="F510" s="105">
        <v>42226</v>
      </c>
      <c r="G510" s="82">
        <f>4795+5393+163.12+281+278+1820.2+1820.2+1820+114+959.76+959.76+959.76</f>
        <v>19363.8</v>
      </c>
      <c r="H510" s="79"/>
      <c r="I510" s="79">
        <v>3850</v>
      </c>
      <c r="J510" s="79"/>
      <c r="K510" s="79"/>
      <c r="L510" s="79"/>
      <c r="M510" s="79"/>
      <c r="N510" s="79"/>
      <c r="O510" s="79"/>
      <c r="P510" s="79"/>
      <c r="Q510" s="79">
        <f t="shared" si="21"/>
        <v>23213.8</v>
      </c>
      <c r="R510" s="79">
        <f t="shared" si="22"/>
        <v>0</v>
      </c>
      <c r="S510" s="79">
        <f t="shared" si="23"/>
        <v>23213.8</v>
      </c>
    </row>
    <row r="511" spans="1:19" x14ac:dyDescent="0.2">
      <c r="A511" s="102" t="s">
        <v>5169</v>
      </c>
      <c r="B511" s="71" t="s">
        <v>5203</v>
      </c>
      <c r="C511" s="76">
        <v>328</v>
      </c>
      <c r="D511" s="72" t="s">
        <v>5253</v>
      </c>
      <c r="E511" s="73" t="s">
        <v>19</v>
      </c>
      <c r="F511" s="105">
        <v>42226</v>
      </c>
      <c r="G511" s="82"/>
      <c r="H511" s="79"/>
      <c r="I511" s="79"/>
      <c r="J511" s="79"/>
      <c r="K511" s="79"/>
      <c r="L511" s="79"/>
      <c r="M511" s="79"/>
      <c r="N511" s="79"/>
      <c r="O511" s="79"/>
      <c r="P511" s="79"/>
      <c r="Q511" s="79">
        <f t="shared" si="21"/>
        <v>0</v>
      </c>
      <c r="R511" s="79">
        <f t="shared" si="22"/>
        <v>0</v>
      </c>
      <c r="S511" s="79">
        <f t="shared" si="23"/>
        <v>0</v>
      </c>
    </row>
    <row r="512" spans="1:19" x14ac:dyDescent="0.2">
      <c r="A512" s="102" t="s">
        <v>5170</v>
      </c>
      <c r="B512" s="71" t="s">
        <v>5204</v>
      </c>
      <c r="C512" s="76">
        <v>329</v>
      </c>
      <c r="D512" s="72" t="s">
        <v>5254</v>
      </c>
      <c r="E512" s="73" t="s">
        <v>19</v>
      </c>
      <c r="F512" s="105">
        <v>42226</v>
      </c>
      <c r="G512" s="82">
        <f>182</f>
        <v>182</v>
      </c>
      <c r="H512" s="79"/>
      <c r="I512" s="79"/>
      <c r="J512" s="79"/>
      <c r="K512" s="79"/>
      <c r="L512" s="79"/>
      <c r="M512" s="79"/>
      <c r="N512" s="79"/>
      <c r="O512" s="79"/>
      <c r="P512" s="79"/>
      <c r="Q512" s="79">
        <f t="shared" si="21"/>
        <v>182</v>
      </c>
      <c r="R512" s="79">
        <f t="shared" si="22"/>
        <v>0</v>
      </c>
      <c r="S512" s="79">
        <f t="shared" si="23"/>
        <v>182</v>
      </c>
    </row>
    <row r="513" spans="1:19" x14ac:dyDescent="0.2">
      <c r="A513" s="102" t="s">
        <v>5171</v>
      </c>
      <c r="B513" s="71" t="s">
        <v>5205</v>
      </c>
      <c r="C513" s="76">
        <v>330</v>
      </c>
      <c r="D513" s="72" t="s">
        <v>5255</v>
      </c>
      <c r="E513" s="73" t="s">
        <v>19</v>
      </c>
      <c r="F513" s="105">
        <v>42226</v>
      </c>
      <c r="G513" s="82">
        <f>70.5</f>
        <v>70.5</v>
      </c>
      <c r="H513" s="79"/>
      <c r="I513" s="79"/>
      <c r="J513" s="79"/>
      <c r="K513" s="79"/>
      <c r="L513" s="79"/>
      <c r="M513" s="79"/>
      <c r="N513" s="79"/>
      <c r="O513" s="79"/>
      <c r="P513" s="79"/>
      <c r="Q513" s="79">
        <f t="shared" si="21"/>
        <v>70.5</v>
      </c>
      <c r="R513" s="79">
        <f t="shared" si="22"/>
        <v>0</v>
      </c>
      <c r="S513" s="79">
        <f t="shared" si="23"/>
        <v>70.5</v>
      </c>
    </row>
    <row r="514" spans="1:19" x14ac:dyDescent="0.2">
      <c r="A514" s="102" t="s">
        <v>5171</v>
      </c>
      <c r="B514" s="71" t="s">
        <v>5205</v>
      </c>
      <c r="C514" s="76">
        <v>330</v>
      </c>
      <c r="D514" s="72" t="s">
        <v>5256</v>
      </c>
      <c r="E514" s="73" t="s">
        <v>19</v>
      </c>
      <c r="F514" s="105">
        <v>42226</v>
      </c>
      <c r="G514" s="82">
        <f>70</f>
        <v>70</v>
      </c>
      <c r="H514" s="79"/>
      <c r="I514" s="79"/>
      <c r="J514" s="79"/>
      <c r="K514" s="79"/>
      <c r="L514" s="79"/>
      <c r="M514" s="79"/>
      <c r="N514" s="79"/>
      <c r="O514" s="79"/>
      <c r="P514" s="79"/>
      <c r="Q514" s="79">
        <f t="shared" si="21"/>
        <v>70</v>
      </c>
      <c r="R514" s="79">
        <f t="shared" si="22"/>
        <v>0</v>
      </c>
      <c r="S514" s="79">
        <f t="shared" si="23"/>
        <v>70</v>
      </c>
    </row>
    <row r="515" spans="1:19" x14ac:dyDescent="0.2">
      <c r="A515" s="102" t="s">
        <v>5172</v>
      </c>
      <c r="B515" s="71" t="s">
        <v>5206</v>
      </c>
      <c r="C515" s="76">
        <v>331</v>
      </c>
      <c r="D515" s="72" t="s">
        <v>5257</v>
      </c>
      <c r="E515" s="73" t="s">
        <v>19</v>
      </c>
      <c r="F515" s="105">
        <v>42226</v>
      </c>
      <c r="G515" s="82"/>
      <c r="H515" s="79"/>
      <c r="I515" s="79"/>
      <c r="J515" s="79"/>
      <c r="K515" s="79"/>
      <c r="L515" s="79"/>
      <c r="M515" s="79"/>
      <c r="N515" s="79"/>
      <c r="O515" s="79"/>
      <c r="P515" s="79"/>
      <c r="Q515" s="79">
        <f t="shared" si="21"/>
        <v>0</v>
      </c>
      <c r="R515" s="79">
        <f t="shared" si="22"/>
        <v>0</v>
      </c>
      <c r="S515" s="79">
        <f t="shared" si="23"/>
        <v>0</v>
      </c>
    </row>
    <row r="516" spans="1:19" x14ac:dyDescent="0.2">
      <c r="A516" s="102" t="s">
        <v>5173</v>
      </c>
      <c r="B516" s="71" t="s">
        <v>5207</v>
      </c>
      <c r="C516" s="76">
        <v>332</v>
      </c>
      <c r="D516" s="72" t="s">
        <v>5258</v>
      </c>
      <c r="E516" s="73" t="s">
        <v>19</v>
      </c>
      <c r="F516" s="105">
        <v>42226</v>
      </c>
      <c r="G516" s="82">
        <f>155</f>
        <v>155</v>
      </c>
      <c r="H516" s="79"/>
      <c r="I516" s="79"/>
      <c r="J516" s="79"/>
      <c r="K516" s="79"/>
      <c r="L516" s="79"/>
      <c r="M516" s="79"/>
      <c r="N516" s="79"/>
      <c r="O516" s="79"/>
      <c r="P516" s="79"/>
      <c r="Q516" s="79">
        <f t="shared" si="21"/>
        <v>155</v>
      </c>
      <c r="R516" s="79">
        <f t="shared" si="22"/>
        <v>0</v>
      </c>
      <c r="S516" s="79">
        <f t="shared" si="23"/>
        <v>155</v>
      </c>
    </row>
    <row r="517" spans="1:19" x14ac:dyDescent="0.2">
      <c r="A517" s="102" t="s">
        <v>5174</v>
      </c>
      <c r="B517" s="71" t="s">
        <v>5208</v>
      </c>
      <c r="C517" s="76">
        <v>333</v>
      </c>
      <c r="D517" s="73" t="s">
        <v>5259</v>
      </c>
      <c r="E517" s="73" t="s">
        <v>19</v>
      </c>
      <c r="F517" s="105">
        <v>42227</v>
      </c>
      <c r="G517" s="82">
        <f>476.13</f>
        <v>476.13</v>
      </c>
      <c r="H517" s="79"/>
      <c r="I517" s="79"/>
      <c r="J517" s="79"/>
      <c r="K517" s="79"/>
      <c r="L517" s="79"/>
      <c r="M517" s="79"/>
      <c r="N517" s="79"/>
      <c r="O517" s="79"/>
      <c r="P517" s="79"/>
      <c r="Q517" s="79">
        <f t="shared" si="21"/>
        <v>476.13</v>
      </c>
      <c r="R517" s="79">
        <f t="shared" si="22"/>
        <v>0</v>
      </c>
      <c r="S517" s="79">
        <f t="shared" si="23"/>
        <v>476.13</v>
      </c>
    </row>
    <row r="518" spans="1:19" x14ac:dyDescent="0.2">
      <c r="A518" s="102" t="s">
        <v>5175</v>
      </c>
      <c r="B518" s="71" t="s">
        <v>5209</v>
      </c>
      <c r="C518" s="76">
        <v>334</v>
      </c>
      <c r="D518" s="72" t="s">
        <v>5260</v>
      </c>
      <c r="E518" s="73" t="s">
        <v>19</v>
      </c>
      <c r="F518" s="105">
        <v>42172</v>
      </c>
      <c r="G518" s="82">
        <f>755.57</f>
        <v>755.57</v>
      </c>
      <c r="H518" s="79"/>
      <c r="I518" s="79"/>
      <c r="J518" s="79"/>
      <c r="K518" s="79"/>
      <c r="L518" s="79"/>
      <c r="M518" s="79"/>
      <c r="N518" s="79"/>
      <c r="O518" s="79"/>
      <c r="P518" s="79"/>
      <c r="Q518" s="79">
        <f t="shared" si="21"/>
        <v>755.57</v>
      </c>
      <c r="R518" s="79">
        <f t="shared" si="22"/>
        <v>0</v>
      </c>
      <c r="S518" s="79">
        <f t="shared" si="23"/>
        <v>755.57</v>
      </c>
    </row>
    <row r="519" spans="1:19" x14ac:dyDescent="0.2">
      <c r="A519" s="102" t="s">
        <v>5262</v>
      </c>
      <c r="B519" s="71" t="s">
        <v>5272</v>
      </c>
      <c r="C519" s="76">
        <v>335</v>
      </c>
      <c r="D519" s="72" t="s">
        <v>5282</v>
      </c>
      <c r="E519" s="73" t="s">
        <v>19</v>
      </c>
      <c r="F519" s="75">
        <v>42229</v>
      </c>
      <c r="G519" s="82">
        <f>23+145.5+35</f>
        <v>203.5</v>
      </c>
      <c r="H519" s="79"/>
      <c r="I519" s="79"/>
      <c r="J519" s="79"/>
      <c r="K519" s="79"/>
      <c r="L519" s="79"/>
      <c r="M519" s="79"/>
      <c r="N519" s="79"/>
      <c r="O519" s="79"/>
      <c r="P519" s="79"/>
      <c r="Q519" s="79">
        <f t="shared" si="21"/>
        <v>203.5</v>
      </c>
      <c r="R519" s="79">
        <f t="shared" si="22"/>
        <v>0</v>
      </c>
      <c r="S519" s="79">
        <f t="shared" si="23"/>
        <v>203.5</v>
      </c>
    </row>
    <row r="520" spans="1:19" x14ac:dyDescent="0.2">
      <c r="A520" s="102" t="s">
        <v>5262</v>
      </c>
      <c r="B520" s="71" t="s">
        <v>5272</v>
      </c>
      <c r="C520" s="76">
        <v>335</v>
      </c>
      <c r="D520" s="72" t="s">
        <v>5283</v>
      </c>
      <c r="E520" s="73" t="s">
        <v>19</v>
      </c>
      <c r="F520" s="75">
        <v>42229</v>
      </c>
      <c r="G520" s="82">
        <f>124.4</f>
        <v>124.4</v>
      </c>
      <c r="H520" s="79"/>
      <c r="I520" s="79"/>
      <c r="J520" s="79"/>
      <c r="K520" s="79"/>
      <c r="L520" s="79"/>
      <c r="M520" s="79"/>
      <c r="N520" s="79"/>
      <c r="O520" s="79"/>
      <c r="P520" s="79"/>
      <c r="Q520" s="79">
        <f t="shared" ref="Q520:Q583" si="24">+G520+I520+K520+M520+O520</f>
        <v>124.4</v>
      </c>
      <c r="R520" s="79">
        <f t="shared" ref="R520:R583" si="25">+H520+J520+L520+N520+P520</f>
        <v>0</v>
      </c>
      <c r="S520" s="79">
        <f t="shared" ref="S520:S583" si="26">+Q520+R520</f>
        <v>124.4</v>
      </c>
    </row>
    <row r="521" spans="1:19" x14ac:dyDescent="0.2">
      <c r="A521" s="102" t="s">
        <v>5263</v>
      </c>
      <c r="B521" s="71" t="s">
        <v>5273</v>
      </c>
      <c r="C521" s="76">
        <v>336</v>
      </c>
      <c r="D521" s="72" t="s">
        <v>5284</v>
      </c>
      <c r="E521" s="73" t="s">
        <v>19</v>
      </c>
      <c r="F521" s="75">
        <v>42230</v>
      </c>
      <c r="G521" s="82">
        <f>240+54.5+136.2+47.2+312.61+67.85+67.85+133.49+255.29</f>
        <v>1314.99</v>
      </c>
      <c r="H521" s="79"/>
      <c r="I521" s="79">
        <f>425</f>
        <v>425</v>
      </c>
      <c r="J521" s="79"/>
      <c r="K521" s="79"/>
      <c r="L521" s="79"/>
      <c r="M521" s="79"/>
      <c r="N521" s="79"/>
      <c r="O521" s="79"/>
      <c r="P521" s="79"/>
      <c r="Q521" s="79">
        <f t="shared" si="24"/>
        <v>1739.99</v>
      </c>
      <c r="R521" s="79">
        <f t="shared" si="25"/>
        <v>0</v>
      </c>
      <c r="S521" s="79">
        <f t="shared" si="26"/>
        <v>1739.99</v>
      </c>
    </row>
    <row r="522" spans="1:19" x14ac:dyDescent="0.2">
      <c r="A522" s="102" t="s">
        <v>5264</v>
      </c>
      <c r="B522" s="71" t="s">
        <v>5274</v>
      </c>
      <c r="C522" s="76">
        <v>337</v>
      </c>
      <c r="D522" s="72" t="s">
        <v>5285</v>
      </c>
      <c r="E522" s="73" t="s">
        <v>19</v>
      </c>
      <c r="F522" s="75">
        <v>42233</v>
      </c>
      <c r="G522" s="82">
        <f>240+2259.24+177.45+47.2</f>
        <v>2723.8899999999994</v>
      </c>
      <c r="H522" s="79"/>
      <c r="I522" s="79">
        <v>325</v>
      </c>
      <c r="J522" s="79"/>
      <c r="K522" s="79"/>
      <c r="L522" s="79"/>
      <c r="M522" s="79"/>
      <c r="N522" s="79"/>
      <c r="O522" s="79"/>
      <c r="P522" s="79"/>
      <c r="Q522" s="79">
        <f t="shared" si="24"/>
        <v>3048.8899999999994</v>
      </c>
      <c r="R522" s="79">
        <f t="shared" si="25"/>
        <v>0</v>
      </c>
      <c r="S522" s="79">
        <f t="shared" si="26"/>
        <v>3048.8899999999994</v>
      </c>
    </row>
    <row r="523" spans="1:19" x14ac:dyDescent="0.2">
      <c r="A523" s="102" t="s">
        <v>5265</v>
      </c>
      <c r="B523" s="71" t="s">
        <v>5275</v>
      </c>
      <c r="C523" s="76">
        <v>338</v>
      </c>
      <c r="D523" s="72" t="s">
        <v>5286</v>
      </c>
      <c r="E523" s="73" t="s">
        <v>19</v>
      </c>
      <c r="F523" s="75">
        <v>42234</v>
      </c>
      <c r="G523" s="82">
        <f>80</f>
        <v>80</v>
      </c>
      <c r="H523" s="79"/>
      <c r="I523" s="79"/>
      <c r="J523" s="79"/>
      <c r="K523" s="79"/>
      <c r="L523" s="79"/>
      <c r="M523" s="79"/>
      <c r="N523" s="79"/>
      <c r="O523" s="79"/>
      <c r="P523" s="79"/>
      <c r="Q523" s="79">
        <f t="shared" si="24"/>
        <v>80</v>
      </c>
      <c r="R523" s="79">
        <f t="shared" si="25"/>
        <v>0</v>
      </c>
      <c r="S523" s="79">
        <f t="shared" si="26"/>
        <v>80</v>
      </c>
    </row>
    <row r="524" spans="1:19" x14ac:dyDescent="0.2">
      <c r="A524" s="102" t="s">
        <v>5265</v>
      </c>
      <c r="B524" s="71" t="s">
        <v>5275</v>
      </c>
      <c r="C524" s="76">
        <v>338</v>
      </c>
      <c r="D524" s="72" t="s">
        <v>5287</v>
      </c>
      <c r="E524" s="73" t="s">
        <v>19</v>
      </c>
      <c r="F524" s="75">
        <v>42234</v>
      </c>
      <c r="G524" s="82">
        <f>307</f>
        <v>307</v>
      </c>
      <c r="H524" s="79"/>
      <c r="I524" s="79"/>
      <c r="J524" s="79"/>
      <c r="K524" s="79"/>
      <c r="L524" s="79"/>
      <c r="M524" s="79"/>
      <c r="N524" s="79"/>
      <c r="O524" s="79"/>
      <c r="P524" s="79"/>
      <c r="Q524" s="79">
        <f t="shared" si="24"/>
        <v>307</v>
      </c>
      <c r="R524" s="79">
        <f t="shared" si="25"/>
        <v>0</v>
      </c>
      <c r="S524" s="79">
        <f t="shared" si="26"/>
        <v>307</v>
      </c>
    </row>
    <row r="525" spans="1:19" x14ac:dyDescent="0.2">
      <c r="A525" s="102" t="s">
        <v>5266</v>
      </c>
      <c r="B525" s="71" t="s">
        <v>5276</v>
      </c>
      <c r="C525" s="76">
        <v>339</v>
      </c>
      <c r="D525" s="72" t="s">
        <v>5288</v>
      </c>
      <c r="E525" s="73" t="s">
        <v>19</v>
      </c>
      <c r="F525" s="75">
        <v>42234</v>
      </c>
      <c r="G525" s="82">
        <f>116.37+4890+4673.9+188+295</f>
        <v>10163.27</v>
      </c>
      <c r="H525" s="79"/>
      <c r="I525" s="79">
        <v>3850</v>
      </c>
      <c r="J525" s="79"/>
      <c r="K525" s="79"/>
      <c r="L525" s="79"/>
      <c r="M525" s="79"/>
      <c r="N525" s="79"/>
      <c r="O525" s="79"/>
      <c r="P525" s="79"/>
      <c r="Q525" s="79">
        <f t="shared" si="24"/>
        <v>14013.27</v>
      </c>
      <c r="R525" s="79">
        <f t="shared" si="25"/>
        <v>0</v>
      </c>
      <c r="S525" s="79">
        <f t="shared" si="26"/>
        <v>14013.27</v>
      </c>
    </row>
    <row r="526" spans="1:19" x14ac:dyDescent="0.2">
      <c r="A526" s="102" t="s">
        <v>5267</v>
      </c>
      <c r="B526" s="71" t="s">
        <v>5277</v>
      </c>
      <c r="C526" s="76">
        <v>340</v>
      </c>
      <c r="D526" s="73" t="s">
        <v>5289</v>
      </c>
      <c r="E526" s="73" t="s">
        <v>19</v>
      </c>
      <c r="F526" s="75">
        <v>42235</v>
      </c>
      <c r="G526" s="82">
        <f>344+348.1+118.9+171.1+35+93</f>
        <v>1110.0999999999999</v>
      </c>
      <c r="H526" s="79"/>
      <c r="I526" s="79">
        <v>3000</v>
      </c>
      <c r="J526" s="79"/>
      <c r="K526" s="79"/>
      <c r="L526" s="79"/>
      <c r="M526" s="79"/>
      <c r="N526" s="79"/>
      <c r="O526" s="79"/>
      <c r="P526" s="79"/>
      <c r="Q526" s="79">
        <f t="shared" si="24"/>
        <v>4110.1000000000004</v>
      </c>
      <c r="R526" s="79">
        <f t="shared" si="25"/>
        <v>0</v>
      </c>
      <c r="S526" s="79">
        <f t="shared" si="26"/>
        <v>4110.1000000000004</v>
      </c>
    </row>
    <row r="527" spans="1:19" x14ac:dyDescent="0.2">
      <c r="A527" s="102" t="s">
        <v>5268</v>
      </c>
      <c r="B527" s="71" t="s">
        <v>5278</v>
      </c>
      <c r="C527" s="76">
        <v>342</v>
      </c>
      <c r="D527" s="72" t="s">
        <v>5290</v>
      </c>
      <c r="E527" s="73" t="s">
        <v>19</v>
      </c>
      <c r="F527" s="75">
        <v>42240</v>
      </c>
      <c r="G527" s="82"/>
      <c r="H527" s="79"/>
      <c r="I527" s="79"/>
      <c r="J527" s="79"/>
      <c r="K527" s="79"/>
      <c r="L527" s="79"/>
      <c r="M527" s="79"/>
      <c r="N527" s="79"/>
      <c r="O527" s="79"/>
      <c r="P527" s="79"/>
      <c r="Q527" s="79">
        <f t="shared" si="24"/>
        <v>0</v>
      </c>
      <c r="R527" s="79">
        <f t="shared" si="25"/>
        <v>0</v>
      </c>
      <c r="S527" s="79">
        <f t="shared" si="26"/>
        <v>0</v>
      </c>
    </row>
    <row r="528" spans="1:19" x14ac:dyDescent="0.2">
      <c r="A528" s="102" t="s">
        <v>5269</v>
      </c>
      <c r="B528" s="71" t="s">
        <v>5279</v>
      </c>
      <c r="C528" s="76">
        <v>343</v>
      </c>
      <c r="D528" s="73" t="s">
        <v>5291</v>
      </c>
      <c r="E528" s="73" t="s">
        <v>19</v>
      </c>
      <c r="F528" s="75">
        <v>42241</v>
      </c>
      <c r="G528" s="82">
        <f>110.6</f>
        <v>110.6</v>
      </c>
      <c r="H528" s="79"/>
      <c r="I528" s="79"/>
      <c r="J528" s="79"/>
      <c r="K528" s="79"/>
      <c r="L528" s="79"/>
      <c r="M528" s="79"/>
      <c r="N528" s="79"/>
      <c r="O528" s="79"/>
      <c r="P528" s="79"/>
      <c r="Q528" s="79">
        <f t="shared" si="24"/>
        <v>110.6</v>
      </c>
      <c r="R528" s="79">
        <f t="shared" si="25"/>
        <v>0</v>
      </c>
      <c r="S528" s="79">
        <f t="shared" si="26"/>
        <v>110.6</v>
      </c>
    </row>
    <row r="529" spans="1:19" x14ac:dyDescent="0.2">
      <c r="A529" s="102" t="s">
        <v>5269</v>
      </c>
      <c r="B529" s="71" t="s">
        <v>5279</v>
      </c>
      <c r="C529" s="76">
        <v>343</v>
      </c>
      <c r="D529" s="73" t="s">
        <v>5292</v>
      </c>
      <c r="E529" s="73" t="s">
        <v>19</v>
      </c>
      <c r="F529" s="75">
        <v>42241</v>
      </c>
      <c r="G529" s="82">
        <v>40</v>
      </c>
      <c r="H529" s="79"/>
      <c r="I529" s="79"/>
      <c r="J529" s="79"/>
      <c r="K529" s="79"/>
      <c r="L529" s="79"/>
      <c r="M529" s="79"/>
      <c r="N529" s="79"/>
      <c r="O529" s="79"/>
      <c r="P529" s="79"/>
      <c r="Q529" s="79">
        <f t="shared" si="24"/>
        <v>40</v>
      </c>
      <c r="R529" s="79">
        <f t="shared" si="25"/>
        <v>0</v>
      </c>
      <c r="S529" s="79">
        <f t="shared" si="26"/>
        <v>40</v>
      </c>
    </row>
    <row r="530" spans="1:19" x14ac:dyDescent="0.2">
      <c r="A530" s="102" t="s">
        <v>5269</v>
      </c>
      <c r="B530" s="71" t="s">
        <v>5279</v>
      </c>
      <c r="C530" s="76">
        <v>343</v>
      </c>
      <c r="D530" s="73" t="s">
        <v>5293</v>
      </c>
      <c r="E530" s="73" t="s">
        <v>19</v>
      </c>
      <c r="F530" s="75">
        <v>42241</v>
      </c>
      <c r="G530" s="82">
        <f>169.6</f>
        <v>169.6</v>
      </c>
      <c r="H530" s="79"/>
      <c r="I530" s="79"/>
      <c r="J530" s="79"/>
      <c r="K530" s="79"/>
      <c r="L530" s="79"/>
      <c r="M530" s="79"/>
      <c r="N530" s="79"/>
      <c r="O530" s="79"/>
      <c r="P530" s="79"/>
      <c r="Q530" s="79">
        <f t="shared" si="24"/>
        <v>169.6</v>
      </c>
      <c r="R530" s="79">
        <f t="shared" si="25"/>
        <v>0</v>
      </c>
      <c r="S530" s="79">
        <f t="shared" si="26"/>
        <v>169.6</v>
      </c>
    </row>
    <row r="531" spans="1:19" x14ac:dyDescent="0.2">
      <c r="A531" s="102" t="s">
        <v>5270</v>
      </c>
      <c r="B531" s="71" t="s">
        <v>5280</v>
      </c>
      <c r="C531" s="76">
        <v>344</v>
      </c>
      <c r="D531" s="72" t="s">
        <v>5294</v>
      </c>
      <c r="E531" s="73" t="s">
        <v>19</v>
      </c>
      <c r="F531" s="75">
        <v>42241</v>
      </c>
      <c r="G531" s="82">
        <f>212</f>
        <v>212</v>
      </c>
      <c r="H531" s="79"/>
      <c r="I531" s="79"/>
      <c r="J531" s="79"/>
      <c r="K531" s="79"/>
      <c r="L531" s="79"/>
      <c r="M531" s="79"/>
      <c r="N531" s="79"/>
      <c r="O531" s="79"/>
      <c r="P531" s="79"/>
      <c r="Q531" s="79">
        <f t="shared" si="24"/>
        <v>212</v>
      </c>
      <c r="R531" s="79">
        <f t="shared" si="25"/>
        <v>0</v>
      </c>
      <c r="S531" s="79">
        <f t="shared" si="26"/>
        <v>212</v>
      </c>
    </row>
    <row r="532" spans="1:19" x14ac:dyDescent="0.2">
      <c r="A532" s="102" t="s">
        <v>5270</v>
      </c>
      <c r="B532" s="71" t="s">
        <v>5280</v>
      </c>
      <c r="C532" s="76">
        <v>344</v>
      </c>
      <c r="D532" s="72" t="s">
        <v>5295</v>
      </c>
      <c r="E532" s="73" t="s">
        <v>19</v>
      </c>
      <c r="F532" s="75">
        <v>42241</v>
      </c>
      <c r="G532" s="82">
        <f>105.8</f>
        <v>105.8</v>
      </c>
      <c r="H532" s="79"/>
      <c r="I532" s="79"/>
      <c r="J532" s="79"/>
      <c r="K532" s="79"/>
      <c r="L532" s="79"/>
      <c r="M532" s="79"/>
      <c r="N532" s="79"/>
      <c r="O532" s="79"/>
      <c r="P532" s="79"/>
      <c r="Q532" s="79">
        <f t="shared" si="24"/>
        <v>105.8</v>
      </c>
      <c r="R532" s="79">
        <f t="shared" si="25"/>
        <v>0</v>
      </c>
      <c r="S532" s="79">
        <f t="shared" si="26"/>
        <v>105.8</v>
      </c>
    </row>
    <row r="533" spans="1:19" x14ac:dyDescent="0.2">
      <c r="A533" s="102" t="s">
        <v>5270</v>
      </c>
      <c r="B533" s="71" t="s">
        <v>5280</v>
      </c>
      <c r="C533" s="76">
        <v>344</v>
      </c>
      <c r="D533" s="72" t="s">
        <v>5296</v>
      </c>
      <c r="E533" s="73" t="s">
        <v>19</v>
      </c>
      <c r="F533" s="75">
        <v>42241</v>
      </c>
      <c r="G533" s="82">
        <f>115.8</f>
        <v>115.8</v>
      </c>
      <c r="H533" s="79"/>
      <c r="I533" s="79"/>
      <c r="J533" s="79"/>
      <c r="K533" s="79"/>
      <c r="L533" s="79"/>
      <c r="M533" s="79"/>
      <c r="N533" s="79"/>
      <c r="O533" s="79"/>
      <c r="P533" s="79"/>
      <c r="Q533" s="79">
        <f t="shared" si="24"/>
        <v>115.8</v>
      </c>
      <c r="R533" s="79">
        <f t="shared" si="25"/>
        <v>0</v>
      </c>
      <c r="S533" s="79">
        <f t="shared" si="26"/>
        <v>115.8</v>
      </c>
    </row>
    <row r="534" spans="1:19" x14ac:dyDescent="0.2">
      <c r="A534" s="102" t="s">
        <v>5271</v>
      </c>
      <c r="B534" s="71" t="s">
        <v>5281</v>
      </c>
      <c r="C534" s="76">
        <v>345</v>
      </c>
      <c r="D534" s="72" t="s">
        <v>5297</v>
      </c>
      <c r="E534" s="73" t="s">
        <v>19</v>
      </c>
      <c r="F534" s="75">
        <v>42243</v>
      </c>
      <c r="G534" s="82">
        <v>219</v>
      </c>
      <c r="H534" s="79"/>
      <c r="I534" s="79"/>
      <c r="J534" s="79"/>
      <c r="K534" s="79"/>
      <c r="L534" s="79"/>
      <c r="M534" s="79"/>
      <c r="N534" s="79"/>
      <c r="O534" s="79"/>
      <c r="P534" s="79"/>
      <c r="Q534" s="79">
        <f t="shared" si="24"/>
        <v>219</v>
      </c>
      <c r="R534" s="79">
        <f t="shared" si="25"/>
        <v>0</v>
      </c>
      <c r="S534" s="79">
        <f t="shared" si="26"/>
        <v>219</v>
      </c>
    </row>
    <row r="535" spans="1:19" x14ac:dyDescent="0.2">
      <c r="A535" s="102" t="s">
        <v>5298</v>
      </c>
      <c r="B535" s="71" t="s">
        <v>5325</v>
      </c>
      <c r="C535" s="76">
        <v>346</v>
      </c>
      <c r="D535" s="72" t="s">
        <v>5351</v>
      </c>
      <c r="E535" s="73" t="s">
        <v>19</v>
      </c>
      <c r="F535" s="75">
        <v>42244</v>
      </c>
      <c r="G535" s="82"/>
      <c r="H535" s="79"/>
      <c r="I535" s="79"/>
      <c r="J535" s="79"/>
      <c r="K535" s="79"/>
      <c r="L535" s="79"/>
      <c r="M535" s="79"/>
      <c r="N535" s="79"/>
      <c r="O535" s="79"/>
      <c r="P535" s="79"/>
      <c r="Q535" s="79">
        <f t="shared" si="24"/>
        <v>0</v>
      </c>
      <c r="R535" s="79">
        <f t="shared" si="25"/>
        <v>0</v>
      </c>
      <c r="S535" s="79">
        <f t="shared" si="26"/>
        <v>0</v>
      </c>
    </row>
    <row r="536" spans="1:19" x14ac:dyDescent="0.2">
      <c r="A536" s="102" t="s">
        <v>5299</v>
      </c>
      <c r="B536" s="71" t="s">
        <v>5326</v>
      </c>
      <c r="C536" s="76">
        <v>347</v>
      </c>
      <c r="D536" s="72" t="s">
        <v>5352</v>
      </c>
      <c r="E536" s="73" t="s">
        <v>19</v>
      </c>
      <c r="F536" s="75">
        <v>42244</v>
      </c>
      <c r="G536" s="82">
        <f>253.94</f>
        <v>253.94</v>
      </c>
      <c r="H536" s="79"/>
      <c r="I536" s="79"/>
      <c r="J536" s="79"/>
      <c r="K536" s="79"/>
      <c r="L536" s="79"/>
      <c r="M536" s="79"/>
      <c r="N536" s="79"/>
      <c r="O536" s="79"/>
      <c r="P536" s="79"/>
      <c r="Q536" s="79">
        <f t="shared" si="24"/>
        <v>253.94</v>
      </c>
      <c r="R536" s="79">
        <f t="shared" si="25"/>
        <v>0</v>
      </c>
      <c r="S536" s="79">
        <f t="shared" si="26"/>
        <v>253.94</v>
      </c>
    </row>
    <row r="537" spans="1:19" x14ac:dyDescent="0.2">
      <c r="A537" s="102" t="s">
        <v>5299</v>
      </c>
      <c r="B537" s="71" t="s">
        <v>5326</v>
      </c>
      <c r="C537" s="76">
        <v>347</v>
      </c>
      <c r="D537" s="72" t="s">
        <v>5353</v>
      </c>
      <c r="E537" s="73" t="s">
        <v>19</v>
      </c>
      <c r="F537" s="75">
        <v>42244</v>
      </c>
      <c r="G537" s="82">
        <f>154.23</f>
        <v>154.22999999999999</v>
      </c>
      <c r="H537" s="79"/>
      <c r="I537" s="79"/>
      <c r="J537" s="79"/>
      <c r="K537" s="79"/>
      <c r="L537" s="79"/>
      <c r="M537" s="79"/>
      <c r="N537" s="79"/>
      <c r="O537" s="79"/>
      <c r="P537" s="79"/>
      <c r="Q537" s="79">
        <f t="shared" si="24"/>
        <v>154.22999999999999</v>
      </c>
      <c r="R537" s="79">
        <f t="shared" si="25"/>
        <v>0</v>
      </c>
      <c r="S537" s="79">
        <f t="shared" si="26"/>
        <v>154.22999999999999</v>
      </c>
    </row>
    <row r="538" spans="1:19" x14ac:dyDescent="0.2">
      <c r="A538" s="102" t="s">
        <v>5299</v>
      </c>
      <c r="B538" s="71" t="s">
        <v>5326</v>
      </c>
      <c r="C538" s="76">
        <v>347</v>
      </c>
      <c r="D538" s="72" t="s">
        <v>5354</v>
      </c>
      <c r="E538" s="73" t="s">
        <v>19</v>
      </c>
      <c r="F538" s="75">
        <v>42244</v>
      </c>
      <c r="G538" s="82">
        <f>163.67</f>
        <v>163.66999999999999</v>
      </c>
      <c r="H538" s="79"/>
      <c r="I538" s="79"/>
      <c r="J538" s="79"/>
      <c r="K538" s="79"/>
      <c r="L538" s="79"/>
      <c r="M538" s="79"/>
      <c r="N538" s="79"/>
      <c r="O538" s="79"/>
      <c r="P538" s="79"/>
      <c r="Q538" s="79">
        <f t="shared" si="24"/>
        <v>163.66999999999999</v>
      </c>
      <c r="R538" s="79">
        <f t="shared" si="25"/>
        <v>0</v>
      </c>
      <c r="S538" s="79">
        <f t="shared" si="26"/>
        <v>163.66999999999999</v>
      </c>
    </row>
    <row r="539" spans="1:19" x14ac:dyDescent="0.2">
      <c r="A539" s="102" t="s">
        <v>5299</v>
      </c>
      <c r="B539" s="71" t="s">
        <v>5326</v>
      </c>
      <c r="C539" s="76">
        <v>347</v>
      </c>
      <c r="D539" s="72" t="s">
        <v>5355</v>
      </c>
      <c r="E539" s="73" t="s">
        <v>19</v>
      </c>
      <c r="F539" s="75">
        <v>42244</v>
      </c>
      <c r="G539" s="82">
        <f>47.2</f>
        <v>47.2</v>
      </c>
      <c r="H539" s="79"/>
      <c r="I539" s="79"/>
      <c r="J539" s="79"/>
      <c r="K539" s="79"/>
      <c r="L539" s="79"/>
      <c r="M539" s="79"/>
      <c r="N539" s="79"/>
      <c r="O539" s="79"/>
      <c r="P539" s="79"/>
      <c r="Q539" s="79">
        <f t="shared" si="24"/>
        <v>47.2</v>
      </c>
      <c r="R539" s="79">
        <f t="shared" si="25"/>
        <v>0</v>
      </c>
      <c r="S539" s="79">
        <f t="shared" si="26"/>
        <v>47.2</v>
      </c>
    </row>
    <row r="540" spans="1:19" x14ac:dyDescent="0.2">
      <c r="A540" s="102" t="s">
        <v>5299</v>
      </c>
      <c r="B540" s="71" t="s">
        <v>5326</v>
      </c>
      <c r="C540" s="76">
        <v>347</v>
      </c>
      <c r="D540" s="72" t="s">
        <v>5356</v>
      </c>
      <c r="E540" s="73" t="s">
        <v>19</v>
      </c>
      <c r="F540" s="75">
        <v>42244</v>
      </c>
      <c r="G540" s="82">
        <f>92.87</f>
        <v>92.87</v>
      </c>
      <c r="H540" s="79"/>
      <c r="I540" s="79"/>
      <c r="J540" s="79"/>
      <c r="K540" s="79"/>
      <c r="L540" s="79"/>
      <c r="M540" s="79"/>
      <c r="N540" s="79"/>
      <c r="O540" s="79"/>
      <c r="P540" s="79"/>
      <c r="Q540" s="79">
        <f t="shared" si="24"/>
        <v>92.87</v>
      </c>
      <c r="R540" s="79">
        <f t="shared" si="25"/>
        <v>0</v>
      </c>
      <c r="S540" s="79">
        <f t="shared" si="26"/>
        <v>92.87</v>
      </c>
    </row>
    <row r="541" spans="1:19" x14ac:dyDescent="0.2">
      <c r="A541" s="102" t="s">
        <v>5300</v>
      </c>
      <c r="B541" s="71" t="s">
        <v>5327</v>
      </c>
      <c r="C541" s="76">
        <v>348</v>
      </c>
      <c r="D541" s="72" t="s">
        <v>5357</v>
      </c>
      <c r="E541" s="73" t="s">
        <v>19</v>
      </c>
      <c r="F541" s="75">
        <v>42244</v>
      </c>
      <c r="G541" s="82">
        <f>155.7</f>
        <v>155.69999999999999</v>
      </c>
      <c r="H541" s="79"/>
      <c r="I541" s="79"/>
      <c r="J541" s="79"/>
      <c r="K541" s="79"/>
      <c r="L541" s="79"/>
      <c r="M541" s="79"/>
      <c r="N541" s="79"/>
      <c r="O541" s="79"/>
      <c r="P541" s="79"/>
      <c r="Q541" s="79">
        <f t="shared" si="24"/>
        <v>155.69999999999999</v>
      </c>
      <c r="R541" s="79">
        <f t="shared" si="25"/>
        <v>0</v>
      </c>
      <c r="S541" s="79">
        <f t="shared" si="26"/>
        <v>155.69999999999999</v>
      </c>
    </row>
    <row r="542" spans="1:19" x14ac:dyDescent="0.2">
      <c r="A542" s="102" t="s">
        <v>4415</v>
      </c>
      <c r="B542" s="71" t="s">
        <v>4447</v>
      </c>
      <c r="C542" s="76">
        <v>349</v>
      </c>
      <c r="D542" s="72" t="s">
        <v>5358</v>
      </c>
      <c r="E542" s="73" t="s">
        <v>19</v>
      </c>
      <c r="F542" s="75">
        <v>42244</v>
      </c>
      <c r="G542" s="82">
        <f>116.82</f>
        <v>116.82</v>
      </c>
      <c r="H542" s="79"/>
      <c r="I542" s="79"/>
      <c r="J542" s="79"/>
      <c r="K542" s="79"/>
      <c r="L542" s="79"/>
      <c r="M542" s="79"/>
      <c r="N542" s="79"/>
      <c r="O542" s="79"/>
      <c r="P542" s="79"/>
      <c r="Q542" s="79">
        <f t="shared" si="24"/>
        <v>116.82</v>
      </c>
      <c r="R542" s="79">
        <f t="shared" si="25"/>
        <v>0</v>
      </c>
      <c r="S542" s="79">
        <f t="shared" si="26"/>
        <v>116.82</v>
      </c>
    </row>
    <row r="543" spans="1:19" x14ac:dyDescent="0.2">
      <c r="A543" s="102" t="s">
        <v>5301</v>
      </c>
      <c r="B543" s="71" t="s">
        <v>5328</v>
      </c>
      <c r="C543" s="76">
        <v>350</v>
      </c>
      <c r="D543" s="72" t="s">
        <v>5359</v>
      </c>
      <c r="E543" s="73" t="s">
        <v>19</v>
      </c>
      <c r="F543" s="75">
        <v>42247</v>
      </c>
      <c r="G543" s="82">
        <f>53.1+137.01+238+53.1+154.76+290</f>
        <v>925.97</v>
      </c>
      <c r="H543" s="79"/>
      <c r="I543" s="79">
        <f>225</f>
        <v>225</v>
      </c>
      <c r="J543" s="79"/>
      <c r="K543" s="79"/>
      <c r="L543" s="79"/>
      <c r="M543" s="79"/>
      <c r="N543" s="79"/>
      <c r="O543" s="79"/>
      <c r="P543" s="79"/>
      <c r="Q543" s="79">
        <f t="shared" si="24"/>
        <v>1150.97</v>
      </c>
      <c r="R543" s="79">
        <f t="shared" si="25"/>
        <v>0</v>
      </c>
      <c r="S543" s="79">
        <f t="shared" si="26"/>
        <v>1150.97</v>
      </c>
    </row>
    <row r="544" spans="1:19" x14ac:dyDescent="0.2">
      <c r="A544" s="102" t="s">
        <v>5302</v>
      </c>
      <c r="B544" s="71" t="s">
        <v>5329</v>
      </c>
      <c r="C544" s="76">
        <v>351</v>
      </c>
      <c r="D544" s="72" t="s">
        <v>5360</v>
      </c>
      <c r="E544" s="73" t="s">
        <v>19</v>
      </c>
      <c r="F544" s="75">
        <v>42247</v>
      </c>
      <c r="G544" s="82">
        <f>167.6</f>
        <v>167.6</v>
      </c>
      <c r="H544" s="79"/>
      <c r="I544" s="79"/>
      <c r="J544" s="79"/>
      <c r="K544" s="79"/>
      <c r="L544" s="79"/>
      <c r="M544" s="79"/>
      <c r="N544" s="79"/>
      <c r="O544" s="79"/>
      <c r="P544" s="79"/>
      <c r="Q544" s="79">
        <f t="shared" si="24"/>
        <v>167.6</v>
      </c>
      <c r="R544" s="79">
        <f t="shared" si="25"/>
        <v>0</v>
      </c>
      <c r="S544" s="79">
        <f t="shared" si="26"/>
        <v>167.6</v>
      </c>
    </row>
    <row r="545" spans="1:19" x14ac:dyDescent="0.2">
      <c r="A545" s="102" t="s">
        <v>5303</v>
      </c>
      <c r="B545" s="71" t="s">
        <v>5330</v>
      </c>
      <c r="C545" s="76">
        <v>352</v>
      </c>
      <c r="D545" s="72" t="s">
        <v>5361</v>
      </c>
      <c r="E545" s="73" t="s">
        <v>19</v>
      </c>
      <c r="F545" s="75">
        <v>42247</v>
      </c>
      <c r="G545" s="82">
        <f>187.67</f>
        <v>187.67</v>
      </c>
      <c r="H545" s="79"/>
      <c r="I545" s="79"/>
      <c r="J545" s="79"/>
      <c r="K545" s="79"/>
      <c r="L545" s="79"/>
      <c r="M545" s="79"/>
      <c r="N545" s="79"/>
      <c r="O545" s="79"/>
      <c r="P545" s="79"/>
      <c r="Q545" s="79">
        <f t="shared" si="24"/>
        <v>187.67</v>
      </c>
      <c r="R545" s="79">
        <f t="shared" si="25"/>
        <v>0</v>
      </c>
      <c r="S545" s="79">
        <f t="shared" si="26"/>
        <v>187.67</v>
      </c>
    </row>
    <row r="546" spans="1:19" x14ac:dyDescent="0.2">
      <c r="A546" s="102" t="s">
        <v>5304</v>
      </c>
      <c r="B546" s="71" t="s">
        <v>5331</v>
      </c>
      <c r="C546" s="76">
        <v>353</v>
      </c>
      <c r="D546" s="72" t="s">
        <v>5362</v>
      </c>
      <c r="E546" s="73" t="s">
        <v>19</v>
      </c>
      <c r="F546" s="75">
        <v>42248</v>
      </c>
      <c r="G546" s="82">
        <f>48.4</f>
        <v>48.4</v>
      </c>
      <c r="H546" s="79"/>
      <c r="I546" s="79"/>
      <c r="J546" s="79"/>
      <c r="K546" s="79"/>
      <c r="L546" s="79"/>
      <c r="M546" s="79"/>
      <c r="N546" s="79"/>
      <c r="O546" s="79"/>
      <c r="P546" s="79"/>
      <c r="Q546" s="79">
        <f t="shared" si="24"/>
        <v>48.4</v>
      </c>
      <c r="R546" s="79">
        <f t="shared" si="25"/>
        <v>0</v>
      </c>
      <c r="S546" s="79">
        <f t="shared" si="26"/>
        <v>48.4</v>
      </c>
    </row>
    <row r="547" spans="1:19" x14ac:dyDescent="0.2">
      <c r="A547" s="102" t="s">
        <v>5304</v>
      </c>
      <c r="B547" s="71" t="s">
        <v>5331</v>
      </c>
      <c r="C547" s="76">
        <v>353</v>
      </c>
      <c r="D547" s="72" t="s">
        <v>5363</v>
      </c>
      <c r="E547" s="73" t="s">
        <v>19</v>
      </c>
      <c r="F547" s="75">
        <v>42248</v>
      </c>
      <c r="G547" s="82">
        <f>104</f>
        <v>104</v>
      </c>
      <c r="H547" s="79"/>
      <c r="I547" s="79"/>
      <c r="J547" s="79"/>
      <c r="K547" s="79"/>
      <c r="L547" s="79"/>
      <c r="M547" s="79"/>
      <c r="N547" s="79"/>
      <c r="O547" s="79"/>
      <c r="P547" s="79"/>
      <c r="Q547" s="79">
        <f t="shared" si="24"/>
        <v>104</v>
      </c>
      <c r="R547" s="79">
        <f t="shared" si="25"/>
        <v>0</v>
      </c>
      <c r="S547" s="79">
        <f t="shared" si="26"/>
        <v>104</v>
      </c>
    </row>
    <row r="548" spans="1:19" x14ac:dyDescent="0.2">
      <c r="A548" s="102" t="s">
        <v>5304</v>
      </c>
      <c r="B548" s="71" t="s">
        <v>5331</v>
      </c>
      <c r="C548" s="76">
        <v>353</v>
      </c>
      <c r="D548" s="72" t="s">
        <v>5364</v>
      </c>
      <c r="E548" s="73" t="s">
        <v>19</v>
      </c>
      <c r="F548" s="75">
        <v>42248</v>
      </c>
      <c r="G548" s="82">
        <f>40</f>
        <v>40</v>
      </c>
      <c r="H548" s="79"/>
      <c r="I548" s="79"/>
      <c r="J548" s="79"/>
      <c r="K548" s="79"/>
      <c r="L548" s="79"/>
      <c r="M548" s="79"/>
      <c r="N548" s="79"/>
      <c r="O548" s="79"/>
      <c r="P548" s="79"/>
      <c r="Q548" s="79">
        <f t="shared" si="24"/>
        <v>40</v>
      </c>
      <c r="R548" s="79">
        <f t="shared" si="25"/>
        <v>0</v>
      </c>
      <c r="S548" s="79">
        <f t="shared" si="26"/>
        <v>40</v>
      </c>
    </row>
    <row r="549" spans="1:19" x14ac:dyDescent="0.2">
      <c r="A549" s="102" t="s">
        <v>5305</v>
      </c>
      <c r="B549" s="71" t="s">
        <v>5332</v>
      </c>
      <c r="C549" s="76">
        <v>354</v>
      </c>
      <c r="D549" s="72" t="s">
        <v>5365</v>
      </c>
      <c r="E549" s="73" t="s">
        <v>19</v>
      </c>
      <c r="F549" s="75">
        <v>42249</v>
      </c>
      <c r="G549" s="82">
        <f>276.18</f>
        <v>276.18</v>
      </c>
      <c r="H549" s="79"/>
      <c r="I549" s="79"/>
      <c r="J549" s="79"/>
      <c r="K549" s="79"/>
      <c r="L549" s="79"/>
      <c r="M549" s="79"/>
      <c r="N549" s="79"/>
      <c r="O549" s="79"/>
      <c r="P549" s="79"/>
      <c r="Q549" s="79">
        <f t="shared" si="24"/>
        <v>276.18</v>
      </c>
      <c r="R549" s="79">
        <f t="shared" si="25"/>
        <v>0</v>
      </c>
      <c r="S549" s="79">
        <f t="shared" si="26"/>
        <v>276.18</v>
      </c>
    </row>
    <row r="550" spans="1:19" x14ac:dyDescent="0.2">
      <c r="A550" s="102" t="s">
        <v>5306</v>
      </c>
      <c r="B550" s="71" t="s">
        <v>5333</v>
      </c>
      <c r="C550" s="76">
        <v>355</v>
      </c>
      <c r="D550" s="72" t="s">
        <v>5366</v>
      </c>
      <c r="E550" s="73" t="s">
        <v>19</v>
      </c>
      <c r="F550" s="75">
        <v>42247</v>
      </c>
      <c r="G550" s="82">
        <f>80.33</f>
        <v>80.33</v>
      </c>
      <c r="H550" s="79"/>
      <c r="I550" s="79"/>
      <c r="J550" s="79"/>
      <c r="K550" s="79"/>
      <c r="L550" s="79"/>
      <c r="M550" s="79"/>
      <c r="N550" s="79"/>
      <c r="O550" s="79"/>
      <c r="P550" s="79"/>
      <c r="Q550" s="79">
        <f t="shared" si="24"/>
        <v>80.33</v>
      </c>
      <c r="R550" s="79">
        <f t="shared" si="25"/>
        <v>0</v>
      </c>
      <c r="S550" s="79">
        <f t="shared" si="26"/>
        <v>80.33</v>
      </c>
    </row>
    <row r="551" spans="1:19" x14ac:dyDescent="0.2">
      <c r="A551" s="102" t="s">
        <v>5307</v>
      </c>
      <c r="B551" s="71" t="s">
        <v>5334</v>
      </c>
      <c r="C551" s="76">
        <v>356</v>
      </c>
      <c r="D551" s="72" t="s">
        <v>5367</v>
      </c>
      <c r="E551" s="73" t="s">
        <v>19</v>
      </c>
      <c r="F551" s="75">
        <v>42248</v>
      </c>
      <c r="G551" s="82"/>
      <c r="H551" s="79"/>
      <c r="I551" s="79"/>
      <c r="J551" s="79"/>
      <c r="K551" s="79"/>
      <c r="L551" s="79"/>
      <c r="M551" s="79"/>
      <c r="N551" s="79"/>
      <c r="O551" s="79"/>
      <c r="P551" s="79"/>
      <c r="Q551" s="79">
        <f t="shared" si="24"/>
        <v>0</v>
      </c>
      <c r="R551" s="79">
        <f t="shared" si="25"/>
        <v>0</v>
      </c>
      <c r="S551" s="79">
        <f t="shared" si="26"/>
        <v>0</v>
      </c>
    </row>
    <row r="552" spans="1:19" x14ac:dyDescent="0.2">
      <c r="A552" s="102" t="s">
        <v>5308</v>
      </c>
      <c r="B552" s="71" t="s">
        <v>5335</v>
      </c>
      <c r="C552" s="76">
        <v>357</v>
      </c>
      <c r="D552" s="72" t="s">
        <v>5368</v>
      </c>
      <c r="E552" s="73" t="s">
        <v>19</v>
      </c>
      <c r="F552" s="75">
        <v>42249</v>
      </c>
      <c r="G552" s="82">
        <f>300.95</f>
        <v>300.95</v>
      </c>
      <c r="H552" s="79"/>
      <c r="I552" s="79"/>
      <c r="J552" s="79"/>
      <c r="K552" s="79"/>
      <c r="L552" s="79"/>
      <c r="M552" s="79"/>
      <c r="N552" s="79"/>
      <c r="O552" s="79"/>
      <c r="P552" s="79"/>
      <c r="Q552" s="79">
        <f t="shared" si="24"/>
        <v>300.95</v>
      </c>
      <c r="R552" s="79">
        <f t="shared" si="25"/>
        <v>0</v>
      </c>
      <c r="S552" s="79">
        <f t="shared" si="26"/>
        <v>300.95</v>
      </c>
    </row>
    <row r="553" spans="1:19" x14ac:dyDescent="0.2">
      <c r="A553" s="102" t="s">
        <v>5309</v>
      </c>
      <c r="B553" s="71" t="s">
        <v>5336</v>
      </c>
      <c r="C553" s="76">
        <v>358</v>
      </c>
      <c r="D553" s="72" t="s">
        <v>5369</v>
      </c>
      <c r="E553" s="73" t="s">
        <v>19</v>
      </c>
      <c r="F553" s="75">
        <v>42251</v>
      </c>
      <c r="G553" s="82">
        <f>129.47+558+117.53+140</f>
        <v>945</v>
      </c>
      <c r="H553" s="79"/>
      <c r="I553" s="79"/>
      <c r="J553" s="79"/>
      <c r="K553" s="79"/>
      <c r="L553" s="79"/>
      <c r="M553" s="79"/>
      <c r="N553" s="79"/>
      <c r="O553" s="79"/>
      <c r="P553" s="79"/>
      <c r="Q553" s="79">
        <f t="shared" si="24"/>
        <v>945</v>
      </c>
      <c r="R553" s="79">
        <f t="shared" si="25"/>
        <v>0</v>
      </c>
      <c r="S553" s="79">
        <f t="shared" si="26"/>
        <v>945</v>
      </c>
    </row>
    <row r="554" spans="1:19" x14ac:dyDescent="0.2">
      <c r="A554" s="102" t="s">
        <v>5310</v>
      </c>
      <c r="B554" s="71" t="s">
        <v>5337</v>
      </c>
      <c r="C554" s="76">
        <v>359</v>
      </c>
      <c r="D554" s="72" t="s">
        <v>5370</v>
      </c>
      <c r="E554" s="73" t="s">
        <v>19</v>
      </c>
      <c r="F554" s="75">
        <v>42251</v>
      </c>
      <c r="G554" s="82">
        <f>214.1</f>
        <v>214.1</v>
      </c>
      <c r="H554" s="79"/>
      <c r="I554" s="79"/>
      <c r="J554" s="79"/>
      <c r="K554" s="79"/>
      <c r="L554" s="79"/>
      <c r="M554" s="79"/>
      <c r="N554" s="79"/>
      <c r="O554" s="79"/>
      <c r="P554" s="79"/>
      <c r="Q554" s="79">
        <f t="shared" si="24"/>
        <v>214.1</v>
      </c>
      <c r="R554" s="79">
        <f t="shared" si="25"/>
        <v>0</v>
      </c>
      <c r="S554" s="79">
        <f t="shared" si="26"/>
        <v>214.1</v>
      </c>
    </row>
    <row r="555" spans="1:19" x14ac:dyDescent="0.2">
      <c r="A555" s="102" t="s">
        <v>5310</v>
      </c>
      <c r="B555" s="71" t="s">
        <v>5337</v>
      </c>
      <c r="C555" s="76">
        <v>359</v>
      </c>
      <c r="D555" s="72" t="s">
        <v>5371</v>
      </c>
      <c r="E555" s="73" t="s">
        <v>19</v>
      </c>
      <c r="F555" s="75">
        <v>42251</v>
      </c>
      <c r="G555" s="82">
        <f>51.1</f>
        <v>51.1</v>
      </c>
      <c r="H555" s="79"/>
      <c r="I555" s="79"/>
      <c r="J555" s="79"/>
      <c r="K555" s="79"/>
      <c r="L555" s="79"/>
      <c r="M555" s="79"/>
      <c r="N555" s="79"/>
      <c r="O555" s="79"/>
      <c r="P555" s="79"/>
      <c r="Q555" s="79">
        <f t="shared" si="24"/>
        <v>51.1</v>
      </c>
      <c r="R555" s="79">
        <f t="shared" si="25"/>
        <v>0</v>
      </c>
      <c r="S555" s="79">
        <f t="shared" si="26"/>
        <v>51.1</v>
      </c>
    </row>
    <row r="556" spans="1:19" x14ac:dyDescent="0.2">
      <c r="A556" s="102" t="s">
        <v>5311</v>
      </c>
      <c r="B556" s="71" t="s">
        <v>5338</v>
      </c>
      <c r="C556" s="76">
        <v>360</v>
      </c>
      <c r="D556" s="72" t="s">
        <v>5372</v>
      </c>
      <c r="E556" s="73" t="s">
        <v>19</v>
      </c>
      <c r="F556" s="75">
        <v>42254</v>
      </c>
      <c r="G556" s="82">
        <f>134.4</f>
        <v>134.4</v>
      </c>
      <c r="H556" s="79"/>
      <c r="I556" s="79"/>
      <c r="J556" s="79"/>
      <c r="K556" s="79"/>
      <c r="L556" s="79"/>
      <c r="M556" s="79"/>
      <c r="N556" s="79"/>
      <c r="O556" s="79"/>
      <c r="P556" s="79"/>
      <c r="Q556" s="79">
        <f t="shared" si="24"/>
        <v>134.4</v>
      </c>
      <c r="R556" s="79">
        <f t="shared" si="25"/>
        <v>0</v>
      </c>
      <c r="S556" s="79">
        <f t="shared" si="26"/>
        <v>134.4</v>
      </c>
    </row>
    <row r="557" spans="1:19" x14ac:dyDescent="0.2">
      <c r="A557" s="102" t="s">
        <v>5312</v>
      </c>
      <c r="B557" s="71" t="s">
        <v>5339</v>
      </c>
      <c r="C557" s="76">
        <v>361</v>
      </c>
      <c r="D557" s="73" t="s">
        <v>5373</v>
      </c>
      <c r="E557" s="73" t="s">
        <v>19</v>
      </c>
      <c r="F557" s="75">
        <v>42254</v>
      </c>
      <c r="G557" s="82">
        <f>391.5+996.5+390</f>
        <v>1778</v>
      </c>
      <c r="H557" s="79"/>
      <c r="I557" s="79"/>
      <c r="J557" s="79"/>
      <c r="K557" s="79"/>
      <c r="L557" s="79"/>
      <c r="M557" s="79"/>
      <c r="N557" s="79"/>
      <c r="O557" s="79"/>
      <c r="P557" s="79"/>
      <c r="Q557" s="79">
        <f t="shared" si="24"/>
        <v>1778</v>
      </c>
      <c r="R557" s="79">
        <f t="shared" si="25"/>
        <v>0</v>
      </c>
      <c r="S557" s="79">
        <f t="shared" si="26"/>
        <v>1778</v>
      </c>
    </row>
    <row r="558" spans="1:19" x14ac:dyDescent="0.2">
      <c r="A558" s="102" t="s">
        <v>5313</v>
      </c>
      <c r="B558" s="71" t="s">
        <v>3291</v>
      </c>
      <c r="C558" s="76">
        <v>362</v>
      </c>
      <c r="D558" s="72" t="s">
        <v>5374</v>
      </c>
      <c r="E558" s="73" t="s">
        <v>19</v>
      </c>
      <c r="F558" s="75">
        <v>42254</v>
      </c>
      <c r="G558" s="82">
        <f>78.9</f>
        <v>78.900000000000006</v>
      </c>
      <c r="H558" s="79"/>
      <c r="I558" s="79"/>
      <c r="J558" s="79"/>
      <c r="K558" s="79"/>
      <c r="L558" s="79"/>
      <c r="M558" s="79"/>
      <c r="N558" s="79"/>
      <c r="O558" s="79"/>
      <c r="P558" s="79"/>
      <c r="Q558" s="79">
        <f t="shared" si="24"/>
        <v>78.900000000000006</v>
      </c>
      <c r="R558" s="79">
        <f t="shared" si="25"/>
        <v>0</v>
      </c>
      <c r="S558" s="79">
        <f t="shared" si="26"/>
        <v>78.900000000000006</v>
      </c>
    </row>
    <row r="559" spans="1:19" x14ac:dyDescent="0.2">
      <c r="A559" s="102" t="s">
        <v>5313</v>
      </c>
      <c r="B559" s="71" t="s">
        <v>3291</v>
      </c>
      <c r="C559" s="76">
        <v>362</v>
      </c>
      <c r="D559" s="72" t="s">
        <v>5375</v>
      </c>
      <c r="E559" s="73" t="s">
        <v>19</v>
      </c>
      <c r="F559" s="75">
        <v>42254</v>
      </c>
      <c r="G559" s="82">
        <f>143.7</f>
        <v>143.69999999999999</v>
      </c>
      <c r="H559" s="79"/>
      <c r="I559" s="79"/>
      <c r="J559" s="79"/>
      <c r="K559" s="79"/>
      <c r="L559" s="79"/>
      <c r="M559" s="79"/>
      <c r="N559" s="79"/>
      <c r="O559" s="79"/>
      <c r="P559" s="79"/>
      <c r="Q559" s="79">
        <f t="shared" si="24"/>
        <v>143.69999999999999</v>
      </c>
      <c r="R559" s="79">
        <f t="shared" si="25"/>
        <v>0</v>
      </c>
      <c r="S559" s="79">
        <f t="shared" si="26"/>
        <v>143.69999999999999</v>
      </c>
    </row>
    <row r="560" spans="1:19" x14ac:dyDescent="0.2">
      <c r="A560" s="102" t="s">
        <v>5313</v>
      </c>
      <c r="B560" s="71" t="s">
        <v>3291</v>
      </c>
      <c r="C560" s="76">
        <v>362</v>
      </c>
      <c r="D560" s="72" t="s">
        <v>5376</v>
      </c>
      <c r="E560" s="73" t="s">
        <v>19</v>
      </c>
      <c r="F560" s="75">
        <v>42254</v>
      </c>
      <c r="G560" s="82">
        <f>232.9</f>
        <v>232.9</v>
      </c>
      <c r="H560" s="79"/>
      <c r="I560" s="79"/>
      <c r="J560" s="79"/>
      <c r="K560" s="79"/>
      <c r="L560" s="79"/>
      <c r="M560" s="79"/>
      <c r="N560" s="79"/>
      <c r="O560" s="79"/>
      <c r="P560" s="79"/>
      <c r="Q560" s="79">
        <f t="shared" si="24"/>
        <v>232.9</v>
      </c>
      <c r="R560" s="79">
        <f t="shared" si="25"/>
        <v>0</v>
      </c>
      <c r="S560" s="79">
        <f t="shared" si="26"/>
        <v>232.9</v>
      </c>
    </row>
    <row r="561" spans="1:19" x14ac:dyDescent="0.2">
      <c r="A561" s="102" t="s">
        <v>5313</v>
      </c>
      <c r="B561" s="71" t="s">
        <v>3291</v>
      </c>
      <c r="C561" s="76">
        <v>362</v>
      </c>
      <c r="D561" s="72" t="s">
        <v>5377</v>
      </c>
      <c r="E561" s="73" t="s">
        <v>19</v>
      </c>
      <c r="F561" s="75">
        <v>42254</v>
      </c>
      <c r="G561" s="82">
        <f>172.72+53.1+71.05</f>
        <v>296.87</v>
      </c>
      <c r="H561" s="79"/>
      <c r="I561" s="79">
        <v>750</v>
      </c>
      <c r="J561" s="79"/>
      <c r="K561" s="79"/>
      <c r="L561" s="79"/>
      <c r="M561" s="79"/>
      <c r="N561" s="79"/>
      <c r="O561" s="79"/>
      <c r="P561" s="79"/>
      <c r="Q561" s="79">
        <f t="shared" si="24"/>
        <v>1046.8699999999999</v>
      </c>
      <c r="R561" s="79">
        <f t="shared" si="25"/>
        <v>0</v>
      </c>
      <c r="S561" s="79">
        <f t="shared" si="26"/>
        <v>1046.8699999999999</v>
      </c>
    </row>
    <row r="562" spans="1:19" x14ac:dyDescent="0.2">
      <c r="A562" s="102" t="s">
        <v>5314</v>
      </c>
      <c r="B562" s="71" t="s">
        <v>5340</v>
      </c>
      <c r="C562" s="76">
        <v>363</v>
      </c>
      <c r="D562" s="72" t="s">
        <v>5378</v>
      </c>
      <c r="E562" s="73" t="s">
        <v>19</v>
      </c>
      <c r="F562" s="75">
        <v>42254</v>
      </c>
      <c r="G562" s="82">
        <f>199.8+65.14+41.3+41.3+261.95+154.33+111.92+182.54+632.07+240+88.38+167.09+335+170+294.1+41.3+41.3+558+110+41.3</f>
        <v>3776.8200000000006</v>
      </c>
      <c r="H562" s="79"/>
      <c r="I562" s="79">
        <f>120*25</f>
        <v>3000</v>
      </c>
      <c r="J562" s="79"/>
      <c r="K562" s="79"/>
      <c r="L562" s="79"/>
      <c r="M562" s="79"/>
      <c r="N562" s="79"/>
      <c r="O562" s="79"/>
      <c r="P562" s="79"/>
      <c r="Q562" s="79">
        <f t="shared" si="24"/>
        <v>6776.8200000000006</v>
      </c>
      <c r="R562" s="79">
        <f t="shared" si="25"/>
        <v>0</v>
      </c>
      <c r="S562" s="79">
        <f t="shared" si="26"/>
        <v>6776.8200000000006</v>
      </c>
    </row>
    <row r="563" spans="1:19" x14ac:dyDescent="0.2">
      <c r="A563" s="102" t="s">
        <v>5315</v>
      </c>
      <c r="B563" s="71" t="s">
        <v>5341</v>
      </c>
      <c r="C563" s="76">
        <v>364</v>
      </c>
      <c r="D563" s="72" t="s">
        <v>5379</v>
      </c>
      <c r="E563" s="73" t="s">
        <v>19</v>
      </c>
      <c r="F563" s="75">
        <v>42256</v>
      </c>
      <c r="G563" s="82">
        <f>430</f>
        <v>430</v>
      </c>
      <c r="H563" s="79"/>
      <c r="I563" s="79"/>
      <c r="J563" s="79"/>
      <c r="K563" s="79"/>
      <c r="L563" s="79"/>
      <c r="M563" s="79"/>
      <c r="N563" s="79"/>
      <c r="O563" s="79"/>
      <c r="P563" s="79"/>
      <c r="Q563" s="79">
        <f t="shared" si="24"/>
        <v>430</v>
      </c>
      <c r="R563" s="79">
        <f t="shared" si="25"/>
        <v>0</v>
      </c>
      <c r="S563" s="79">
        <f t="shared" si="26"/>
        <v>430</v>
      </c>
    </row>
    <row r="564" spans="1:19" x14ac:dyDescent="0.2">
      <c r="A564" s="102" t="s">
        <v>5316</v>
      </c>
      <c r="B564" s="71" t="s">
        <v>5342</v>
      </c>
      <c r="C564" s="76">
        <v>365</v>
      </c>
      <c r="D564" s="72" t="s">
        <v>5380</v>
      </c>
      <c r="E564" s="73" t="s">
        <v>19</v>
      </c>
      <c r="F564" s="75">
        <v>42256</v>
      </c>
      <c r="G564" s="82">
        <f>72</f>
        <v>72</v>
      </c>
      <c r="H564" s="79"/>
      <c r="I564" s="79"/>
      <c r="J564" s="79"/>
      <c r="K564" s="79"/>
      <c r="L564" s="79"/>
      <c r="M564" s="79"/>
      <c r="N564" s="79"/>
      <c r="O564" s="79"/>
      <c r="P564" s="79"/>
      <c r="Q564" s="79">
        <f t="shared" si="24"/>
        <v>72</v>
      </c>
      <c r="R564" s="79">
        <f t="shared" si="25"/>
        <v>0</v>
      </c>
      <c r="S564" s="79">
        <f t="shared" si="26"/>
        <v>72</v>
      </c>
    </row>
    <row r="565" spans="1:19" x14ac:dyDescent="0.2">
      <c r="A565" s="102" t="s">
        <v>5316</v>
      </c>
      <c r="B565" s="71" t="s">
        <v>5342</v>
      </c>
      <c r="C565" s="76">
        <v>365</v>
      </c>
      <c r="D565" s="72" t="s">
        <v>5381</v>
      </c>
      <c r="E565" s="73" t="s">
        <v>19</v>
      </c>
      <c r="F565" s="75">
        <v>42256</v>
      </c>
      <c r="G565" s="82">
        <f>100.8</f>
        <v>100.8</v>
      </c>
      <c r="H565" s="79"/>
      <c r="I565" s="79"/>
      <c r="J565" s="79"/>
      <c r="K565" s="79"/>
      <c r="L565" s="79"/>
      <c r="M565" s="79"/>
      <c r="N565" s="79"/>
      <c r="O565" s="79"/>
      <c r="P565" s="79"/>
      <c r="Q565" s="79">
        <f t="shared" si="24"/>
        <v>100.8</v>
      </c>
      <c r="R565" s="79">
        <f t="shared" si="25"/>
        <v>0</v>
      </c>
      <c r="S565" s="79">
        <f t="shared" si="26"/>
        <v>100.8</v>
      </c>
    </row>
    <row r="566" spans="1:19" x14ac:dyDescent="0.2">
      <c r="A566" s="102" t="s">
        <v>5316</v>
      </c>
      <c r="B566" s="71" t="s">
        <v>5342</v>
      </c>
      <c r="C566" s="76">
        <v>365</v>
      </c>
      <c r="D566" s="72" t="s">
        <v>5382</v>
      </c>
      <c r="E566" s="73" t="s">
        <v>19</v>
      </c>
      <c r="F566" s="75">
        <v>42256</v>
      </c>
      <c r="G566" s="82">
        <f>48</f>
        <v>48</v>
      </c>
      <c r="H566" s="79"/>
      <c r="I566" s="79"/>
      <c r="J566" s="79"/>
      <c r="K566" s="79"/>
      <c r="L566" s="79"/>
      <c r="M566" s="79"/>
      <c r="N566" s="79"/>
      <c r="O566" s="79"/>
      <c r="P566" s="79"/>
      <c r="Q566" s="79">
        <f t="shared" si="24"/>
        <v>48</v>
      </c>
      <c r="R566" s="79">
        <f t="shared" si="25"/>
        <v>0</v>
      </c>
      <c r="S566" s="79">
        <f t="shared" si="26"/>
        <v>48</v>
      </c>
    </row>
    <row r="567" spans="1:19" x14ac:dyDescent="0.2">
      <c r="A567" s="102" t="s">
        <v>4824</v>
      </c>
      <c r="B567" s="71" t="s">
        <v>4868</v>
      </c>
      <c r="C567" s="76">
        <v>366</v>
      </c>
      <c r="D567" s="72" t="s">
        <v>5841</v>
      </c>
      <c r="E567" s="73" t="s">
        <v>19</v>
      </c>
      <c r="F567" s="75">
        <v>42256</v>
      </c>
      <c r="G567" s="82">
        <f>238+1168+1010+15218.4+127.14</f>
        <v>17761.54</v>
      </c>
      <c r="H567" s="79"/>
      <c r="I567" s="79">
        <v>1500</v>
      </c>
      <c r="J567" s="79"/>
      <c r="K567" s="79"/>
      <c r="L567" s="79"/>
      <c r="M567" s="79"/>
      <c r="N567" s="79"/>
      <c r="O567" s="79"/>
      <c r="P567" s="79"/>
      <c r="Q567" s="79">
        <f t="shared" si="24"/>
        <v>19261.54</v>
      </c>
      <c r="R567" s="79">
        <f t="shared" si="25"/>
        <v>0</v>
      </c>
      <c r="S567" s="79">
        <f t="shared" si="26"/>
        <v>19261.54</v>
      </c>
    </row>
    <row r="568" spans="1:19" x14ac:dyDescent="0.2">
      <c r="A568" s="102" t="s">
        <v>4824</v>
      </c>
      <c r="B568" s="71" t="s">
        <v>4868</v>
      </c>
      <c r="C568" s="76">
        <v>366</v>
      </c>
      <c r="D568" s="72" t="s">
        <v>5383</v>
      </c>
      <c r="E568" s="73" t="s">
        <v>19</v>
      </c>
      <c r="F568" s="75">
        <v>42256</v>
      </c>
      <c r="G568" s="82">
        <f>238+963</f>
        <v>1201</v>
      </c>
      <c r="H568" s="79"/>
      <c r="I568" s="79"/>
      <c r="J568" s="79"/>
      <c r="K568" s="79"/>
      <c r="L568" s="79"/>
      <c r="M568" s="79"/>
      <c r="N568" s="79"/>
      <c r="O568" s="79"/>
      <c r="P568" s="79"/>
      <c r="Q568" s="79">
        <f t="shared" si="24"/>
        <v>1201</v>
      </c>
      <c r="R568" s="79">
        <f t="shared" si="25"/>
        <v>0</v>
      </c>
      <c r="S568" s="79">
        <f t="shared" si="26"/>
        <v>1201</v>
      </c>
    </row>
    <row r="569" spans="1:19" x14ac:dyDescent="0.2">
      <c r="A569" s="102" t="s">
        <v>4824</v>
      </c>
      <c r="B569" s="71" t="s">
        <v>4868</v>
      </c>
      <c r="C569" s="76">
        <v>366</v>
      </c>
      <c r="D569" s="72" t="s">
        <v>5384</v>
      </c>
      <c r="E569" s="73" t="s">
        <v>19</v>
      </c>
      <c r="F569" s="75">
        <v>42256</v>
      </c>
      <c r="G569" s="82">
        <f>238</f>
        <v>238</v>
      </c>
      <c r="H569" s="79"/>
      <c r="I569" s="79"/>
      <c r="J569" s="79"/>
      <c r="K569" s="79"/>
      <c r="L569" s="79"/>
      <c r="M569" s="79"/>
      <c r="N569" s="79"/>
      <c r="O569" s="79"/>
      <c r="P569" s="79"/>
      <c r="Q569" s="79">
        <f t="shared" si="24"/>
        <v>238</v>
      </c>
      <c r="R569" s="79">
        <f t="shared" si="25"/>
        <v>0</v>
      </c>
      <c r="S569" s="79">
        <f t="shared" si="26"/>
        <v>238</v>
      </c>
    </row>
    <row r="570" spans="1:19" x14ac:dyDescent="0.2">
      <c r="A570" s="102" t="s">
        <v>4824</v>
      </c>
      <c r="B570" s="71" t="s">
        <v>4868</v>
      </c>
      <c r="C570" s="76">
        <v>366</v>
      </c>
      <c r="D570" s="72" t="s">
        <v>5385</v>
      </c>
      <c r="E570" s="73" t="s">
        <v>19</v>
      </c>
      <c r="F570" s="75">
        <v>42256</v>
      </c>
      <c r="G570" s="82"/>
      <c r="H570" s="79"/>
      <c r="I570" s="79"/>
      <c r="J570" s="79"/>
      <c r="K570" s="79"/>
      <c r="L570" s="79"/>
      <c r="M570" s="79">
        <v>3850</v>
      </c>
      <c r="N570" s="79"/>
      <c r="O570" s="79">
        <v>15400</v>
      </c>
      <c r="P570" s="79"/>
      <c r="Q570" s="79">
        <f t="shared" si="24"/>
        <v>19250</v>
      </c>
      <c r="R570" s="79">
        <f t="shared" si="25"/>
        <v>0</v>
      </c>
      <c r="S570" s="79">
        <f t="shared" si="26"/>
        <v>19250</v>
      </c>
    </row>
    <row r="571" spans="1:19" x14ac:dyDescent="0.2">
      <c r="A571" s="102" t="s">
        <v>5317</v>
      </c>
      <c r="B571" s="71" t="s">
        <v>5343</v>
      </c>
      <c r="C571" s="76">
        <v>367</v>
      </c>
      <c r="D571" s="72" t="s">
        <v>5386</v>
      </c>
      <c r="E571" s="73" t="s">
        <v>19</v>
      </c>
      <c r="F571" s="75">
        <v>42256</v>
      </c>
      <c r="G571" s="82"/>
      <c r="H571" s="79"/>
      <c r="I571" s="79"/>
      <c r="J571" s="79"/>
      <c r="K571" s="79"/>
      <c r="L571" s="79"/>
      <c r="M571" s="79">
        <v>3850</v>
      </c>
      <c r="N571" s="79"/>
      <c r="O571" s="79">
        <v>15400</v>
      </c>
      <c r="P571" s="79"/>
      <c r="Q571" s="79">
        <f t="shared" si="24"/>
        <v>19250</v>
      </c>
      <c r="R571" s="79">
        <f t="shared" si="25"/>
        <v>0</v>
      </c>
      <c r="S571" s="79">
        <f t="shared" si="26"/>
        <v>19250</v>
      </c>
    </row>
    <row r="572" spans="1:19" x14ac:dyDescent="0.2">
      <c r="A572" s="102" t="s">
        <v>5318</v>
      </c>
      <c r="B572" s="71" t="s">
        <v>5344</v>
      </c>
      <c r="C572" s="76">
        <v>368</v>
      </c>
      <c r="D572" s="72" t="s">
        <v>5387</v>
      </c>
      <c r="E572" s="73" t="s">
        <v>4064</v>
      </c>
      <c r="F572" s="75">
        <v>42256</v>
      </c>
      <c r="G572" s="82"/>
      <c r="H572" s="79"/>
      <c r="I572" s="79"/>
      <c r="J572" s="79"/>
      <c r="K572" s="79"/>
      <c r="L572" s="79"/>
      <c r="M572" s="79">
        <v>3800</v>
      </c>
      <c r="N572" s="79"/>
      <c r="O572" s="79">
        <v>15400</v>
      </c>
      <c r="P572" s="79"/>
      <c r="Q572" s="79">
        <f t="shared" si="24"/>
        <v>19200</v>
      </c>
      <c r="R572" s="79">
        <f t="shared" si="25"/>
        <v>0</v>
      </c>
      <c r="S572" s="79">
        <f t="shared" si="26"/>
        <v>19200</v>
      </c>
    </row>
    <row r="573" spans="1:19" x14ac:dyDescent="0.2">
      <c r="A573" s="102" t="s">
        <v>5318</v>
      </c>
      <c r="B573" s="71" t="s">
        <v>5344</v>
      </c>
      <c r="C573" s="76">
        <v>368</v>
      </c>
      <c r="D573" s="72" t="s">
        <v>5388</v>
      </c>
      <c r="E573" s="73" t="s">
        <v>4064</v>
      </c>
      <c r="F573" s="75">
        <v>42256</v>
      </c>
      <c r="G573" s="82"/>
      <c r="H573" s="79"/>
      <c r="I573" s="79"/>
      <c r="J573" s="79"/>
      <c r="K573" s="79"/>
      <c r="L573" s="79"/>
      <c r="M573" s="79"/>
      <c r="N573" s="79"/>
      <c r="O573" s="79"/>
      <c r="P573" s="79"/>
      <c r="Q573" s="79">
        <f t="shared" si="24"/>
        <v>0</v>
      </c>
      <c r="R573" s="79">
        <f t="shared" si="25"/>
        <v>0</v>
      </c>
      <c r="S573" s="79">
        <f t="shared" si="26"/>
        <v>0</v>
      </c>
    </row>
    <row r="574" spans="1:19" x14ac:dyDescent="0.2">
      <c r="A574" s="102" t="s">
        <v>5318</v>
      </c>
      <c r="B574" s="71" t="s">
        <v>5344</v>
      </c>
      <c r="C574" s="76">
        <v>368</v>
      </c>
      <c r="D574" s="72" t="s">
        <v>5389</v>
      </c>
      <c r="E574" s="73" t="s">
        <v>4064</v>
      </c>
      <c r="F574" s="75">
        <v>42256</v>
      </c>
      <c r="G574" s="82"/>
      <c r="H574" s="79"/>
      <c r="I574" s="79"/>
      <c r="J574" s="79"/>
      <c r="K574" s="79"/>
      <c r="L574" s="79"/>
      <c r="M574" s="79"/>
      <c r="N574" s="79"/>
      <c r="O574" s="79"/>
      <c r="P574" s="79"/>
      <c r="Q574" s="79">
        <f t="shared" si="24"/>
        <v>0</v>
      </c>
      <c r="R574" s="79">
        <f t="shared" si="25"/>
        <v>0</v>
      </c>
      <c r="S574" s="79">
        <f t="shared" si="26"/>
        <v>0</v>
      </c>
    </row>
    <row r="575" spans="1:19" x14ac:dyDescent="0.2">
      <c r="A575" s="102" t="s">
        <v>5319</v>
      </c>
      <c r="B575" s="71" t="s">
        <v>5345</v>
      </c>
      <c r="C575" s="76">
        <v>369</v>
      </c>
      <c r="D575" s="72" t="s">
        <v>5390</v>
      </c>
      <c r="E575" s="73" t="s">
        <v>19</v>
      </c>
      <c r="F575" s="75">
        <v>42257</v>
      </c>
      <c r="G575" s="82">
        <f>303.73</f>
        <v>303.73</v>
      </c>
      <c r="H575" s="79"/>
      <c r="I575" s="79"/>
      <c r="J575" s="79"/>
      <c r="K575" s="79"/>
      <c r="L575" s="79"/>
      <c r="M575" s="79"/>
      <c r="N575" s="79"/>
      <c r="O575" s="79"/>
      <c r="P575" s="79"/>
      <c r="Q575" s="79">
        <f t="shared" si="24"/>
        <v>303.73</v>
      </c>
      <c r="R575" s="79">
        <f t="shared" si="25"/>
        <v>0</v>
      </c>
      <c r="S575" s="79">
        <f t="shared" si="26"/>
        <v>303.73</v>
      </c>
    </row>
    <row r="576" spans="1:19" x14ac:dyDescent="0.2">
      <c r="A576" s="102" t="s">
        <v>5320</v>
      </c>
      <c r="B576" s="71" t="s">
        <v>5346</v>
      </c>
      <c r="C576" s="76">
        <v>370</v>
      </c>
      <c r="D576" s="72" t="s">
        <v>5391</v>
      </c>
      <c r="E576" s="73" t="s">
        <v>19</v>
      </c>
      <c r="F576" s="75">
        <v>42258</v>
      </c>
      <c r="G576" s="82">
        <f>83.9</f>
        <v>83.9</v>
      </c>
      <c r="H576" s="79"/>
      <c r="I576" s="79"/>
      <c r="J576" s="79"/>
      <c r="K576" s="79"/>
      <c r="L576" s="79"/>
      <c r="M576" s="79"/>
      <c r="N576" s="79"/>
      <c r="O576" s="79"/>
      <c r="P576" s="79"/>
      <c r="Q576" s="79">
        <f t="shared" si="24"/>
        <v>83.9</v>
      </c>
      <c r="R576" s="79">
        <f t="shared" si="25"/>
        <v>0</v>
      </c>
      <c r="S576" s="79">
        <f t="shared" si="26"/>
        <v>83.9</v>
      </c>
    </row>
    <row r="577" spans="1:19" x14ac:dyDescent="0.2">
      <c r="A577" s="102" t="s">
        <v>5321</v>
      </c>
      <c r="B577" s="71" t="s">
        <v>5347</v>
      </c>
      <c r="C577" s="76">
        <v>371</v>
      </c>
      <c r="D577" s="72" t="s">
        <v>5392</v>
      </c>
      <c r="E577" s="73" t="s">
        <v>19</v>
      </c>
      <c r="F577" s="75">
        <v>42258</v>
      </c>
      <c r="G577" s="82">
        <f>286.8</f>
        <v>286.8</v>
      </c>
      <c r="H577" s="79"/>
      <c r="I577" s="79"/>
      <c r="J577" s="79"/>
      <c r="K577" s="79"/>
      <c r="L577" s="79"/>
      <c r="M577" s="79"/>
      <c r="N577" s="79"/>
      <c r="O577" s="79"/>
      <c r="P577" s="79"/>
      <c r="Q577" s="79">
        <f t="shared" si="24"/>
        <v>286.8</v>
      </c>
      <c r="R577" s="79">
        <f t="shared" si="25"/>
        <v>0</v>
      </c>
      <c r="S577" s="79">
        <f t="shared" si="26"/>
        <v>286.8</v>
      </c>
    </row>
    <row r="578" spans="1:19" x14ac:dyDescent="0.2">
      <c r="A578" s="102" t="s">
        <v>5321</v>
      </c>
      <c r="B578" s="71" t="s">
        <v>5347</v>
      </c>
      <c r="C578" s="76">
        <v>371</v>
      </c>
      <c r="D578" s="72" t="s">
        <v>5393</v>
      </c>
      <c r="E578" s="73" t="s">
        <v>19</v>
      </c>
      <c r="F578" s="75">
        <v>42258</v>
      </c>
      <c r="G578" s="82">
        <f>84.1</f>
        <v>84.1</v>
      </c>
      <c r="H578" s="79"/>
      <c r="I578" s="79"/>
      <c r="J578" s="79"/>
      <c r="K578" s="79"/>
      <c r="L578" s="79"/>
      <c r="M578" s="79"/>
      <c r="N578" s="79"/>
      <c r="O578" s="79"/>
      <c r="P578" s="79"/>
      <c r="Q578" s="79">
        <f t="shared" si="24"/>
        <v>84.1</v>
      </c>
      <c r="R578" s="79">
        <f t="shared" si="25"/>
        <v>0</v>
      </c>
      <c r="S578" s="79">
        <f t="shared" si="26"/>
        <v>84.1</v>
      </c>
    </row>
    <row r="579" spans="1:19" x14ac:dyDescent="0.2">
      <c r="A579" s="102" t="s">
        <v>5322</v>
      </c>
      <c r="B579" s="71" t="s">
        <v>5348</v>
      </c>
      <c r="C579" s="76">
        <v>372</v>
      </c>
      <c r="D579" s="73" t="s">
        <v>5394</v>
      </c>
      <c r="E579" s="73" t="s">
        <v>19</v>
      </c>
      <c r="F579" s="75">
        <v>42258</v>
      </c>
      <c r="G579" s="82">
        <f>173.4</f>
        <v>173.4</v>
      </c>
      <c r="H579" s="79"/>
      <c r="I579" s="79"/>
      <c r="J579" s="79"/>
      <c r="K579" s="79"/>
      <c r="L579" s="79"/>
      <c r="M579" s="79"/>
      <c r="N579" s="79"/>
      <c r="O579" s="79"/>
      <c r="P579" s="79"/>
      <c r="Q579" s="79">
        <f t="shared" si="24"/>
        <v>173.4</v>
      </c>
      <c r="R579" s="79">
        <f t="shared" si="25"/>
        <v>0</v>
      </c>
      <c r="S579" s="79">
        <f t="shared" si="26"/>
        <v>173.4</v>
      </c>
    </row>
    <row r="580" spans="1:19" x14ac:dyDescent="0.2">
      <c r="A580" s="102" t="s">
        <v>5322</v>
      </c>
      <c r="B580" s="71" t="s">
        <v>5348</v>
      </c>
      <c r="C580" s="76">
        <v>372</v>
      </c>
      <c r="D580" s="73" t="s">
        <v>5842</v>
      </c>
      <c r="E580" s="73" t="s">
        <v>19</v>
      </c>
      <c r="F580" s="75">
        <v>42258</v>
      </c>
      <c r="G580" s="82">
        <f>230.3</f>
        <v>230.3</v>
      </c>
      <c r="H580" s="79"/>
      <c r="I580" s="79"/>
      <c r="J580" s="79"/>
      <c r="K580" s="79"/>
      <c r="L580" s="79"/>
      <c r="M580" s="79"/>
      <c r="N580" s="79"/>
      <c r="O580" s="79"/>
      <c r="P580" s="79"/>
      <c r="Q580" s="79">
        <f t="shared" si="24"/>
        <v>230.3</v>
      </c>
      <c r="R580" s="79">
        <f t="shared" si="25"/>
        <v>0</v>
      </c>
      <c r="S580" s="79">
        <f t="shared" si="26"/>
        <v>230.3</v>
      </c>
    </row>
    <row r="581" spans="1:19" x14ac:dyDescent="0.2">
      <c r="A581" s="102" t="s">
        <v>5323</v>
      </c>
      <c r="B581" s="71" t="s">
        <v>5349</v>
      </c>
      <c r="C581" s="76">
        <v>373</v>
      </c>
      <c r="D581" s="72" t="s">
        <v>5395</v>
      </c>
      <c r="E581" s="73" t="s">
        <v>19</v>
      </c>
      <c r="F581" s="75">
        <v>42261</v>
      </c>
      <c r="G581" s="82">
        <f>151.1</f>
        <v>151.1</v>
      </c>
      <c r="H581" s="79"/>
      <c r="I581" s="79">
        <v>125</v>
      </c>
      <c r="J581" s="79"/>
      <c r="K581" s="79"/>
      <c r="L581" s="79"/>
      <c r="M581" s="79"/>
      <c r="N581" s="79"/>
      <c r="O581" s="79"/>
      <c r="P581" s="79"/>
      <c r="Q581" s="79">
        <f t="shared" si="24"/>
        <v>276.10000000000002</v>
      </c>
      <c r="R581" s="79">
        <f t="shared" si="25"/>
        <v>0</v>
      </c>
      <c r="S581" s="79">
        <f t="shared" si="26"/>
        <v>276.10000000000002</v>
      </c>
    </row>
    <row r="582" spans="1:19" x14ac:dyDescent="0.2">
      <c r="A582" s="150" t="s">
        <v>5324</v>
      </c>
      <c r="B582" s="151" t="s">
        <v>5350</v>
      </c>
      <c r="C582" s="106">
        <v>374</v>
      </c>
      <c r="D582" s="107" t="s">
        <v>5396</v>
      </c>
      <c r="E582" s="147" t="s">
        <v>19</v>
      </c>
      <c r="F582" s="148">
        <v>42261</v>
      </c>
      <c r="G582" s="109">
        <f>90</f>
        <v>90</v>
      </c>
      <c r="H582" s="108"/>
      <c r="I582" s="108"/>
      <c r="J582" s="108"/>
      <c r="K582" s="108"/>
      <c r="L582" s="108"/>
      <c r="M582" s="108"/>
      <c r="N582" s="108"/>
      <c r="O582" s="108"/>
      <c r="P582" s="108"/>
      <c r="Q582" s="79">
        <f t="shared" si="24"/>
        <v>90</v>
      </c>
      <c r="R582" s="79">
        <f t="shared" si="25"/>
        <v>0</v>
      </c>
      <c r="S582" s="79">
        <f t="shared" si="26"/>
        <v>90</v>
      </c>
    </row>
    <row r="583" spans="1:19" x14ac:dyDescent="0.2">
      <c r="A583" s="102" t="s">
        <v>5402</v>
      </c>
      <c r="B583" s="71" t="s">
        <v>5440</v>
      </c>
      <c r="C583" s="76">
        <v>375</v>
      </c>
      <c r="D583" s="72" t="s">
        <v>5478</v>
      </c>
      <c r="E583" s="73" t="s">
        <v>19</v>
      </c>
      <c r="F583" s="75">
        <v>42263</v>
      </c>
      <c r="G583" s="82">
        <f>40</f>
        <v>40</v>
      </c>
      <c r="H583" s="79"/>
      <c r="I583" s="79"/>
      <c r="J583" s="79"/>
      <c r="K583" s="79"/>
      <c r="L583" s="79"/>
      <c r="M583" s="79"/>
      <c r="N583" s="79"/>
      <c r="O583" s="79"/>
      <c r="P583" s="79"/>
      <c r="Q583" s="79">
        <f t="shared" si="24"/>
        <v>40</v>
      </c>
      <c r="R583" s="79">
        <f t="shared" si="25"/>
        <v>0</v>
      </c>
      <c r="S583" s="79">
        <f t="shared" si="26"/>
        <v>40</v>
      </c>
    </row>
    <row r="584" spans="1:19" x14ac:dyDescent="0.2">
      <c r="A584" s="102" t="s">
        <v>5402</v>
      </c>
      <c r="B584" s="71" t="s">
        <v>5440</v>
      </c>
      <c r="C584" s="76">
        <v>375</v>
      </c>
      <c r="D584" s="72" t="s">
        <v>5479</v>
      </c>
      <c r="E584" s="73" t="s">
        <v>19</v>
      </c>
      <c r="F584" s="75">
        <v>42263</v>
      </c>
      <c r="G584" s="82">
        <f>48</f>
        <v>48</v>
      </c>
      <c r="H584" s="79"/>
      <c r="I584" s="79"/>
      <c r="J584" s="79"/>
      <c r="K584" s="79"/>
      <c r="L584" s="79"/>
      <c r="M584" s="79"/>
      <c r="N584" s="79"/>
      <c r="O584" s="79"/>
      <c r="P584" s="79"/>
      <c r="Q584" s="79">
        <f t="shared" ref="Q584:Q647" si="27">+G584+I584+K584+M584+O584</f>
        <v>48</v>
      </c>
      <c r="R584" s="79">
        <f t="shared" ref="R584:R647" si="28">+H584+J584+L584+N584+P584</f>
        <v>0</v>
      </c>
      <c r="S584" s="79">
        <f t="shared" ref="S584:S647" si="29">+Q584+R584</f>
        <v>48</v>
      </c>
    </row>
    <row r="585" spans="1:19" x14ac:dyDescent="0.2">
      <c r="A585" s="102" t="s">
        <v>5402</v>
      </c>
      <c r="B585" s="71" t="s">
        <v>5440</v>
      </c>
      <c r="C585" s="76">
        <v>375</v>
      </c>
      <c r="D585" s="72" t="s">
        <v>5480</v>
      </c>
      <c r="E585" s="73" t="s">
        <v>19</v>
      </c>
      <c r="F585" s="75">
        <v>42263</v>
      </c>
      <c r="G585" s="82">
        <f>41.1</f>
        <v>41.1</v>
      </c>
      <c r="H585" s="79"/>
      <c r="I585" s="79"/>
      <c r="J585" s="79"/>
      <c r="K585" s="79"/>
      <c r="L585" s="79"/>
      <c r="M585" s="79"/>
      <c r="N585" s="79"/>
      <c r="O585" s="79"/>
      <c r="P585" s="79"/>
      <c r="Q585" s="79">
        <f t="shared" si="27"/>
        <v>41.1</v>
      </c>
      <c r="R585" s="79">
        <f t="shared" si="28"/>
        <v>0</v>
      </c>
      <c r="S585" s="79">
        <f t="shared" si="29"/>
        <v>41.1</v>
      </c>
    </row>
    <row r="586" spans="1:19" x14ac:dyDescent="0.2">
      <c r="A586" s="102" t="s">
        <v>5403</v>
      </c>
      <c r="B586" s="71" t="s">
        <v>5441</v>
      </c>
      <c r="C586" s="76">
        <v>376</v>
      </c>
      <c r="D586" s="72" t="s">
        <v>5481</v>
      </c>
      <c r="E586" s="73" t="s">
        <v>19</v>
      </c>
      <c r="F586" s="75">
        <v>42263</v>
      </c>
      <c r="G586" s="82">
        <f>136.28</f>
        <v>136.28</v>
      </c>
      <c r="H586" s="79"/>
      <c r="I586" s="79"/>
      <c r="J586" s="79"/>
      <c r="K586" s="79"/>
      <c r="L586" s="79"/>
      <c r="M586" s="79"/>
      <c r="N586" s="79"/>
      <c r="O586" s="79"/>
      <c r="P586" s="79"/>
      <c r="Q586" s="79">
        <f t="shared" si="27"/>
        <v>136.28</v>
      </c>
      <c r="R586" s="79">
        <f t="shared" si="28"/>
        <v>0</v>
      </c>
      <c r="S586" s="79">
        <f t="shared" si="29"/>
        <v>136.28</v>
      </c>
    </row>
    <row r="587" spans="1:19" x14ac:dyDescent="0.2">
      <c r="A587" s="102" t="s">
        <v>5404</v>
      </c>
      <c r="B587" s="71" t="s">
        <v>5442</v>
      </c>
      <c r="C587" s="76">
        <v>377</v>
      </c>
      <c r="D587" s="73" t="s">
        <v>5482</v>
      </c>
      <c r="E587" s="73" t="s">
        <v>19</v>
      </c>
      <c r="F587" s="75">
        <v>42263</v>
      </c>
      <c r="G587" s="82">
        <f>242.36</f>
        <v>242.36</v>
      </c>
      <c r="H587" s="79"/>
      <c r="I587" s="79"/>
      <c r="J587" s="79"/>
      <c r="K587" s="79"/>
      <c r="L587" s="79"/>
      <c r="M587" s="79"/>
      <c r="N587" s="79"/>
      <c r="O587" s="79"/>
      <c r="P587" s="79"/>
      <c r="Q587" s="79">
        <f t="shared" si="27"/>
        <v>242.36</v>
      </c>
      <c r="R587" s="79">
        <f t="shared" si="28"/>
        <v>0</v>
      </c>
      <c r="S587" s="79">
        <f t="shared" si="29"/>
        <v>242.36</v>
      </c>
    </row>
    <row r="588" spans="1:19" x14ac:dyDescent="0.2">
      <c r="A588" s="102" t="s">
        <v>5405</v>
      </c>
      <c r="B588" s="71" t="s">
        <v>5443</v>
      </c>
      <c r="C588" s="76">
        <v>378</v>
      </c>
      <c r="D588" s="72" t="s">
        <v>5483</v>
      </c>
      <c r="E588" s="73" t="s">
        <v>19</v>
      </c>
      <c r="F588" s="75">
        <v>42265</v>
      </c>
      <c r="G588" s="82">
        <f>255.6</f>
        <v>255.6</v>
      </c>
      <c r="H588" s="79"/>
      <c r="I588" s="79"/>
      <c r="J588" s="79"/>
      <c r="K588" s="79"/>
      <c r="L588" s="79"/>
      <c r="M588" s="79"/>
      <c r="N588" s="79"/>
      <c r="O588" s="79"/>
      <c r="P588" s="79"/>
      <c r="Q588" s="79">
        <f t="shared" si="27"/>
        <v>255.6</v>
      </c>
      <c r="R588" s="79">
        <f t="shared" si="28"/>
        <v>0</v>
      </c>
      <c r="S588" s="79">
        <f t="shared" si="29"/>
        <v>255.6</v>
      </c>
    </row>
    <row r="589" spans="1:19" x14ac:dyDescent="0.2">
      <c r="A589" s="102" t="s">
        <v>5405</v>
      </c>
      <c r="B589" s="71" t="s">
        <v>5443</v>
      </c>
      <c r="C589" s="76">
        <v>378</v>
      </c>
      <c r="D589" s="72" t="s">
        <v>5484</v>
      </c>
      <c r="E589" s="73" t="s">
        <v>19</v>
      </c>
      <c r="F589" s="75">
        <v>42265</v>
      </c>
      <c r="G589" s="82">
        <f>97</f>
        <v>97</v>
      </c>
      <c r="H589" s="79"/>
      <c r="I589" s="79"/>
      <c r="J589" s="79"/>
      <c r="K589" s="79"/>
      <c r="L589" s="79"/>
      <c r="M589" s="79"/>
      <c r="N589" s="79"/>
      <c r="O589" s="79"/>
      <c r="P589" s="79"/>
      <c r="Q589" s="79">
        <f t="shared" si="27"/>
        <v>97</v>
      </c>
      <c r="R589" s="79">
        <f t="shared" si="28"/>
        <v>0</v>
      </c>
      <c r="S589" s="79">
        <f t="shared" si="29"/>
        <v>97</v>
      </c>
    </row>
    <row r="590" spans="1:19" x14ac:dyDescent="0.2">
      <c r="A590" s="102" t="s">
        <v>4081</v>
      </c>
      <c r="B590" s="71" t="s">
        <v>4102</v>
      </c>
      <c r="C590" s="76">
        <v>379</v>
      </c>
      <c r="D590" s="72" t="s">
        <v>5485</v>
      </c>
      <c r="E590" s="73" t="s">
        <v>19</v>
      </c>
      <c r="F590" s="75">
        <v>42267</v>
      </c>
      <c r="G590" s="82">
        <f>2216.3+848</f>
        <v>3064.3</v>
      </c>
      <c r="H590" s="79"/>
      <c r="I590" s="79"/>
      <c r="J590" s="79"/>
      <c r="K590" s="79"/>
      <c r="L590" s="79"/>
      <c r="M590" s="79">
        <v>3850</v>
      </c>
      <c r="N590" s="79"/>
      <c r="O590" s="79">
        <v>15400</v>
      </c>
      <c r="P590" s="79"/>
      <c r="Q590" s="79">
        <f t="shared" si="27"/>
        <v>22314.3</v>
      </c>
      <c r="R590" s="79">
        <f t="shared" si="28"/>
        <v>0</v>
      </c>
      <c r="S590" s="79">
        <f t="shared" si="29"/>
        <v>22314.3</v>
      </c>
    </row>
    <row r="591" spans="1:19" x14ac:dyDescent="0.2">
      <c r="A591" s="102" t="s">
        <v>5406</v>
      </c>
      <c r="B591" s="71" t="s">
        <v>5444</v>
      </c>
      <c r="C591" s="76">
        <v>380</v>
      </c>
      <c r="D591" s="72" t="s">
        <v>5486</v>
      </c>
      <c r="E591" s="73" t="s">
        <v>19</v>
      </c>
      <c r="F591" s="75">
        <v>42268</v>
      </c>
      <c r="G591" s="82">
        <f>97.94</f>
        <v>97.94</v>
      </c>
      <c r="H591" s="79"/>
      <c r="I591" s="79"/>
      <c r="J591" s="79"/>
      <c r="K591" s="79"/>
      <c r="L591" s="79"/>
      <c r="M591" s="79"/>
      <c r="N591" s="79"/>
      <c r="O591" s="79"/>
      <c r="P591" s="79"/>
      <c r="Q591" s="79">
        <f t="shared" si="27"/>
        <v>97.94</v>
      </c>
      <c r="R591" s="79">
        <f t="shared" si="28"/>
        <v>0</v>
      </c>
      <c r="S591" s="79">
        <f t="shared" si="29"/>
        <v>97.94</v>
      </c>
    </row>
    <row r="592" spans="1:19" x14ac:dyDescent="0.2">
      <c r="A592" s="102" t="s">
        <v>5406</v>
      </c>
      <c r="B592" s="71" t="s">
        <v>5444</v>
      </c>
      <c r="C592" s="76">
        <v>380</v>
      </c>
      <c r="D592" s="72" t="s">
        <v>5487</v>
      </c>
      <c r="E592" s="73" t="s">
        <v>19</v>
      </c>
      <c r="F592" s="75">
        <v>42268</v>
      </c>
      <c r="G592" s="82">
        <f>84.31</f>
        <v>84.31</v>
      </c>
      <c r="H592" s="79"/>
      <c r="I592" s="79"/>
      <c r="J592" s="79"/>
      <c r="K592" s="79"/>
      <c r="L592" s="79"/>
      <c r="M592" s="79"/>
      <c r="N592" s="79"/>
      <c r="O592" s="79"/>
      <c r="P592" s="79"/>
      <c r="Q592" s="79">
        <f t="shared" si="27"/>
        <v>84.31</v>
      </c>
      <c r="R592" s="79">
        <f t="shared" si="28"/>
        <v>0</v>
      </c>
      <c r="S592" s="79">
        <f t="shared" si="29"/>
        <v>84.31</v>
      </c>
    </row>
    <row r="593" spans="1:19" x14ac:dyDescent="0.2">
      <c r="A593" s="102" t="s">
        <v>5407</v>
      </c>
      <c r="B593" s="71" t="s">
        <v>5445</v>
      </c>
      <c r="C593" s="76">
        <v>381</v>
      </c>
      <c r="D593" s="72" t="s">
        <v>5488</v>
      </c>
      <c r="E593" s="73" t="s">
        <v>19</v>
      </c>
      <c r="F593" s="75">
        <v>42268</v>
      </c>
      <c r="G593" s="82">
        <f>593.36+164.8+53.1+240</f>
        <v>1051.2600000000002</v>
      </c>
      <c r="H593" s="79"/>
      <c r="I593" s="79">
        <v>525</v>
      </c>
      <c r="J593" s="79"/>
      <c r="K593" s="79"/>
      <c r="L593" s="79"/>
      <c r="M593" s="79"/>
      <c r="N593" s="79"/>
      <c r="O593" s="79"/>
      <c r="P593" s="79"/>
      <c r="Q593" s="79">
        <f t="shared" si="27"/>
        <v>1576.2600000000002</v>
      </c>
      <c r="R593" s="79">
        <f t="shared" si="28"/>
        <v>0</v>
      </c>
      <c r="S593" s="79">
        <f t="shared" si="29"/>
        <v>1576.2600000000002</v>
      </c>
    </row>
    <row r="594" spans="1:19" x14ac:dyDescent="0.2">
      <c r="A594" s="102" t="s">
        <v>5156</v>
      </c>
      <c r="B594" s="71" t="s">
        <v>5192</v>
      </c>
      <c r="C594" s="76">
        <v>382</v>
      </c>
      <c r="D594" s="72" t="s">
        <v>5489</v>
      </c>
      <c r="E594" s="73" t="s">
        <v>19</v>
      </c>
      <c r="F594" s="75">
        <v>42268</v>
      </c>
      <c r="G594" s="82">
        <f>40.9</f>
        <v>40.9</v>
      </c>
      <c r="H594" s="79"/>
      <c r="I594" s="79"/>
      <c r="J594" s="79"/>
      <c r="K594" s="79"/>
      <c r="L594" s="79"/>
      <c r="M594" s="79"/>
      <c r="N594" s="79"/>
      <c r="O594" s="79"/>
      <c r="P594" s="79"/>
      <c r="Q594" s="79">
        <f t="shared" si="27"/>
        <v>40.9</v>
      </c>
      <c r="R594" s="79">
        <f t="shared" si="28"/>
        <v>0</v>
      </c>
      <c r="S594" s="79">
        <f t="shared" si="29"/>
        <v>40.9</v>
      </c>
    </row>
    <row r="595" spans="1:19" x14ac:dyDescent="0.2">
      <c r="A595" s="102" t="s">
        <v>5408</v>
      </c>
      <c r="B595" s="71" t="s">
        <v>5446</v>
      </c>
      <c r="C595" s="76">
        <v>383</v>
      </c>
      <c r="D595" s="72" t="s">
        <v>5725</v>
      </c>
      <c r="E595" s="73" t="s">
        <v>19</v>
      </c>
      <c r="F595" s="75">
        <v>42269</v>
      </c>
      <c r="G595" s="82">
        <f>279.25+110.92+116.41+335+18.81+110.92+110.92</f>
        <v>1082.23</v>
      </c>
      <c r="H595" s="79"/>
      <c r="I595" s="79">
        <v>2075</v>
      </c>
      <c r="J595" s="79"/>
      <c r="K595" s="79"/>
      <c r="L595" s="79"/>
      <c r="M595" s="79"/>
      <c r="N595" s="79"/>
      <c r="O595" s="79"/>
      <c r="P595" s="79"/>
      <c r="Q595" s="79">
        <f t="shared" si="27"/>
        <v>3157.23</v>
      </c>
      <c r="R595" s="79">
        <f t="shared" si="28"/>
        <v>0</v>
      </c>
      <c r="S595" s="79">
        <f t="shared" si="29"/>
        <v>3157.23</v>
      </c>
    </row>
    <row r="596" spans="1:19" x14ac:dyDescent="0.2">
      <c r="A596" s="102" t="s">
        <v>5409</v>
      </c>
      <c r="B596" s="71" t="s">
        <v>5447</v>
      </c>
      <c r="C596" s="76">
        <v>384</v>
      </c>
      <c r="D596" s="73" t="s">
        <v>5490</v>
      </c>
      <c r="E596" s="73" t="s">
        <v>19</v>
      </c>
      <c r="F596" s="75">
        <v>42269</v>
      </c>
      <c r="G596" s="82">
        <f>673.66</f>
        <v>673.66</v>
      </c>
      <c r="H596" s="79"/>
      <c r="I596" s="79"/>
      <c r="J596" s="79"/>
      <c r="K596" s="79"/>
      <c r="L596" s="79"/>
      <c r="M596" s="79"/>
      <c r="N596" s="79"/>
      <c r="O596" s="79"/>
      <c r="P596" s="79"/>
      <c r="Q596" s="79">
        <f t="shared" si="27"/>
        <v>673.66</v>
      </c>
      <c r="R596" s="79">
        <f t="shared" si="28"/>
        <v>0</v>
      </c>
      <c r="S596" s="79">
        <f t="shared" si="29"/>
        <v>673.66</v>
      </c>
    </row>
    <row r="597" spans="1:19" x14ac:dyDescent="0.2">
      <c r="A597" s="102" t="s">
        <v>5410</v>
      </c>
      <c r="B597" s="71" t="s">
        <v>5448</v>
      </c>
      <c r="C597" s="76">
        <v>385</v>
      </c>
      <c r="D597" s="72" t="s">
        <v>5491</v>
      </c>
      <c r="E597" s="73" t="s">
        <v>19</v>
      </c>
      <c r="F597" s="75">
        <v>42269</v>
      </c>
      <c r="G597" s="82">
        <f>138.66</f>
        <v>138.66</v>
      </c>
      <c r="H597" s="79"/>
      <c r="I597" s="79"/>
      <c r="J597" s="79"/>
      <c r="K597" s="79"/>
      <c r="L597" s="79"/>
      <c r="M597" s="79"/>
      <c r="N597" s="79"/>
      <c r="O597" s="79"/>
      <c r="P597" s="79"/>
      <c r="Q597" s="79">
        <f t="shared" si="27"/>
        <v>138.66</v>
      </c>
      <c r="R597" s="79">
        <f t="shared" si="28"/>
        <v>0</v>
      </c>
      <c r="S597" s="79">
        <f t="shared" si="29"/>
        <v>138.66</v>
      </c>
    </row>
    <row r="598" spans="1:19" x14ac:dyDescent="0.2">
      <c r="A598" s="102" t="s">
        <v>5411</v>
      </c>
      <c r="B598" s="71" t="s">
        <v>5449</v>
      </c>
      <c r="C598" s="76">
        <v>386</v>
      </c>
      <c r="D598" s="72" t="s">
        <v>5492</v>
      </c>
      <c r="E598" s="73" t="s">
        <v>19</v>
      </c>
      <c r="F598" s="75">
        <v>42269</v>
      </c>
      <c r="G598" s="82">
        <f>605+1021.1</f>
        <v>1626.1</v>
      </c>
      <c r="H598" s="79"/>
      <c r="I598" s="79"/>
      <c r="J598" s="79"/>
      <c r="K598" s="79"/>
      <c r="L598" s="79"/>
      <c r="M598" s="79"/>
      <c r="N598" s="79"/>
      <c r="O598" s="79"/>
      <c r="P598" s="79"/>
      <c r="Q598" s="79">
        <f t="shared" si="27"/>
        <v>1626.1</v>
      </c>
      <c r="R598" s="79">
        <f t="shared" si="28"/>
        <v>0</v>
      </c>
      <c r="S598" s="79">
        <f t="shared" si="29"/>
        <v>1626.1</v>
      </c>
    </row>
    <row r="599" spans="1:19" x14ac:dyDescent="0.2">
      <c r="A599" s="102" t="s">
        <v>5412</v>
      </c>
      <c r="B599" s="71" t="s">
        <v>5450</v>
      </c>
      <c r="C599" s="76">
        <v>387</v>
      </c>
      <c r="D599" s="72" t="s">
        <v>5493</v>
      </c>
      <c r="E599" s="73" t="s">
        <v>19</v>
      </c>
      <c r="F599" s="75">
        <v>42269</v>
      </c>
      <c r="G599" s="82">
        <f>148.87+134.43+86.39+104.08+66.08+184.6+229.77+209.38+86.94</f>
        <v>1250.54</v>
      </c>
      <c r="H599" s="79"/>
      <c r="I599" s="79">
        <f>300</f>
        <v>300</v>
      </c>
      <c r="J599" s="79"/>
      <c r="K599" s="79"/>
      <c r="L599" s="79"/>
      <c r="M599" s="79"/>
      <c r="N599" s="79"/>
      <c r="O599" s="79"/>
      <c r="P599" s="79"/>
      <c r="Q599" s="79">
        <f t="shared" si="27"/>
        <v>1550.54</v>
      </c>
      <c r="R599" s="79">
        <f t="shared" si="28"/>
        <v>0</v>
      </c>
      <c r="S599" s="79">
        <f t="shared" si="29"/>
        <v>1550.54</v>
      </c>
    </row>
    <row r="600" spans="1:19" x14ac:dyDescent="0.2">
      <c r="A600" s="102" t="s">
        <v>5413</v>
      </c>
      <c r="B600" s="71" t="s">
        <v>5451</v>
      </c>
      <c r="C600" s="76">
        <v>388</v>
      </c>
      <c r="D600" s="72" t="s">
        <v>5494</v>
      </c>
      <c r="E600" s="73" t="s">
        <v>19</v>
      </c>
      <c r="F600" s="75">
        <v>42269</v>
      </c>
      <c r="G600" s="82">
        <f>170.23</f>
        <v>170.23</v>
      </c>
      <c r="H600" s="79"/>
      <c r="I600" s="79"/>
      <c r="J600" s="79"/>
      <c r="K600" s="79"/>
      <c r="L600" s="79"/>
      <c r="M600" s="79"/>
      <c r="N600" s="79"/>
      <c r="O600" s="79"/>
      <c r="P600" s="79"/>
      <c r="Q600" s="79">
        <f t="shared" si="27"/>
        <v>170.23</v>
      </c>
      <c r="R600" s="79">
        <f t="shared" si="28"/>
        <v>0</v>
      </c>
      <c r="S600" s="79">
        <f t="shared" si="29"/>
        <v>170.23</v>
      </c>
    </row>
    <row r="601" spans="1:19" x14ac:dyDescent="0.2">
      <c r="A601" s="102" t="s">
        <v>5414</v>
      </c>
      <c r="B601" s="71" t="s">
        <v>5452</v>
      </c>
      <c r="C601" s="76">
        <v>389</v>
      </c>
      <c r="D601" s="72" t="s">
        <v>5495</v>
      </c>
      <c r="E601" s="73" t="s">
        <v>4064</v>
      </c>
      <c r="F601" s="75">
        <v>42270</v>
      </c>
      <c r="G601" s="82"/>
      <c r="H601" s="79"/>
      <c r="I601" s="79"/>
      <c r="J601" s="79"/>
      <c r="K601" s="79"/>
      <c r="L601" s="79"/>
      <c r="M601" s="79"/>
      <c r="N601" s="79"/>
      <c r="O601" s="79"/>
      <c r="P601" s="79"/>
      <c r="Q601" s="79">
        <f t="shared" si="27"/>
        <v>0</v>
      </c>
      <c r="R601" s="79">
        <f t="shared" si="28"/>
        <v>0</v>
      </c>
      <c r="S601" s="79">
        <f t="shared" si="29"/>
        <v>0</v>
      </c>
    </row>
    <row r="602" spans="1:19" x14ac:dyDescent="0.2">
      <c r="A602" s="102" t="s">
        <v>5415</v>
      </c>
      <c r="B602" s="71" t="s">
        <v>5453</v>
      </c>
      <c r="C602" s="76">
        <v>390</v>
      </c>
      <c r="D602" s="72" t="s">
        <v>5496</v>
      </c>
      <c r="E602" s="73" t="s">
        <v>19</v>
      </c>
      <c r="F602" s="75">
        <v>42270</v>
      </c>
      <c r="G602" s="82">
        <f>126.59</f>
        <v>126.59</v>
      </c>
      <c r="H602" s="79"/>
      <c r="I602" s="79"/>
      <c r="J602" s="79"/>
      <c r="K602" s="79"/>
      <c r="L602" s="79"/>
      <c r="M602" s="79"/>
      <c r="N602" s="79"/>
      <c r="O602" s="79"/>
      <c r="P602" s="79"/>
      <c r="Q602" s="79">
        <f t="shared" si="27"/>
        <v>126.59</v>
      </c>
      <c r="R602" s="79">
        <f t="shared" si="28"/>
        <v>0</v>
      </c>
      <c r="S602" s="79">
        <f t="shared" si="29"/>
        <v>126.59</v>
      </c>
    </row>
    <row r="603" spans="1:19" x14ac:dyDescent="0.2">
      <c r="A603" s="102" t="s">
        <v>5416</v>
      </c>
      <c r="B603" s="71" t="s">
        <v>5454</v>
      </c>
      <c r="C603" s="76">
        <v>391</v>
      </c>
      <c r="D603" s="72" t="s">
        <v>5497</v>
      </c>
      <c r="E603" s="73" t="s">
        <v>19</v>
      </c>
      <c r="F603" s="75">
        <v>42270</v>
      </c>
      <c r="G603" s="82">
        <f>381.3</f>
        <v>381.3</v>
      </c>
      <c r="H603" s="79"/>
      <c r="I603" s="79">
        <v>175</v>
      </c>
      <c r="J603" s="79"/>
      <c r="K603" s="79"/>
      <c r="L603" s="79"/>
      <c r="M603" s="79"/>
      <c r="N603" s="79"/>
      <c r="O603" s="79"/>
      <c r="P603" s="79"/>
      <c r="Q603" s="79">
        <f t="shared" si="27"/>
        <v>556.29999999999995</v>
      </c>
      <c r="R603" s="79">
        <f t="shared" si="28"/>
        <v>0</v>
      </c>
      <c r="S603" s="79">
        <f t="shared" si="29"/>
        <v>556.29999999999995</v>
      </c>
    </row>
    <row r="604" spans="1:19" x14ac:dyDescent="0.2">
      <c r="A604" s="102" t="s">
        <v>5417</v>
      </c>
      <c r="B604" s="71" t="s">
        <v>5455</v>
      </c>
      <c r="C604" s="76">
        <v>392</v>
      </c>
      <c r="D604" s="72" t="s">
        <v>5498</v>
      </c>
      <c r="E604" s="73" t="s">
        <v>19</v>
      </c>
      <c r="F604" s="75">
        <v>42272</v>
      </c>
      <c r="G604" s="82">
        <f>244.25+53.1+436.6+130.98</f>
        <v>864.93000000000006</v>
      </c>
      <c r="H604" s="79"/>
      <c r="I604" s="79">
        <v>750</v>
      </c>
      <c r="J604" s="79"/>
      <c r="K604" s="79"/>
      <c r="L604" s="79"/>
      <c r="M604" s="79"/>
      <c r="N604" s="79"/>
      <c r="O604" s="79"/>
      <c r="P604" s="79"/>
      <c r="Q604" s="79">
        <f t="shared" si="27"/>
        <v>1614.93</v>
      </c>
      <c r="R604" s="79">
        <f t="shared" si="28"/>
        <v>0</v>
      </c>
      <c r="S604" s="79">
        <f t="shared" si="29"/>
        <v>1614.93</v>
      </c>
    </row>
    <row r="605" spans="1:19" x14ac:dyDescent="0.2">
      <c r="A605" s="102" t="s">
        <v>5418</v>
      </c>
      <c r="B605" s="71" t="s">
        <v>5456</v>
      </c>
      <c r="C605" s="76">
        <v>393</v>
      </c>
      <c r="D605" s="72" t="s">
        <v>5499</v>
      </c>
      <c r="E605" s="73" t="s">
        <v>19</v>
      </c>
      <c r="F605" s="75">
        <v>42272</v>
      </c>
      <c r="G605" s="82">
        <v>193.4</v>
      </c>
      <c r="H605" s="79"/>
      <c r="I605" s="79"/>
      <c r="J605" s="79"/>
      <c r="K605" s="79"/>
      <c r="L605" s="79"/>
      <c r="M605" s="79"/>
      <c r="N605" s="79"/>
      <c r="O605" s="79"/>
      <c r="P605" s="79"/>
      <c r="Q605" s="79">
        <f t="shared" si="27"/>
        <v>193.4</v>
      </c>
      <c r="R605" s="79">
        <f t="shared" si="28"/>
        <v>0</v>
      </c>
      <c r="S605" s="79">
        <f t="shared" si="29"/>
        <v>193.4</v>
      </c>
    </row>
    <row r="606" spans="1:19" x14ac:dyDescent="0.2">
      <c r="A606" s="102" t="s">
        <v>5419</v>
      </c>
      <c r="B606" s="71" t="s">
        <v>5457</v>
      </c>
      <c r="C606" s="76">
        <v>394</v>
      </c>
      <c r="D606" s="72" t="s">
        <v>5500</v>
      </c>
      <c r="E606" s="73" t="s">
        <v>19</v>
      </c>
      <c r="F606" s="75">
        <v>42272</v>
      </c>
      <c r="G606" s="82">
        <f>226.45</f>
        <v>226.45</v>
      </c>
      <c r="H606" s="79"/>
      <c r="I606" s="79"/>
      <c r="J606" s="79"/>
      <c r="K606" s="79"/>
      <c r="L606" s="79"/>
      <c r="M606" s="79"/>
      <c r="N606" s="79"/>
      <c r="O606" s="79"/>
      <c r="P606" s="79"/>
      <c r="Q606" s="79">
        <f t="shared" si="27"/>
        <v>226.45</v>
      </c>
      <c r="R606" s="79">
        <f t="shared" si="28"/>
        <v>0</v>
      </c>
      <c r="S606" s="79">
        <f t="shared" si="29"/>
        <v>226.45</v>
      </c>
    </row>
    <row r="607" spans="1:19" x14ac:dyDescent="0.2">
      <c r="A607" s="102" t="s">
        <v>5420</v>
      </c>
      <c r="B607" s="71" t="s">
        <v>5458</v>
      </c>
      <c r="C607" s="76">
        <v>395</v>
      </c>
      <c r="D607" s="72" t="s">
        <v>5501</v>
      </c>
      <c r="E607" s="73" t="s">
        <v>19</v>
      </c>
      <c r="F607" s="75">
        <v>42272</v>
      </c>
      <c r="G607" s="82">
        <f>40.9</f>
        <v>40.9</v>
      </c>
      <c r="H607" s="79"/>
      <c r="I607" s="79"/>
      <c r="J607" s="79"/>
      <c r="K607" s="79"/>
      <c r="L607" s="79"/>
      <c r="M607" s="79"/>
      <c r="N607" s="79"/>
      <c r="O607" s="79"/>
      <c r="P607" s="79"/>
      <c r="Q607" s="79">
        <f t="shared" si="27"/>
        <v>40.9</v>
      </c>
      <c r="R607" s="79">
        <f t="shared" si="28"/>
        <v>0</v>
      </c>
      <c r="S607" s="79">
        <f t="shared" si="29"/>
        <v>40.9</v>
      </c>
    </row>
    <row r="608" spans="1:19" x14ac:dyDescent="0.2">
      <c r="A608" s="102" t="s">
        <v>5421</v>
      </c>
      <c r="B608" s="71" t="s">
        <v>5459</v>
      </c>
      <c r="C608" s="76">
        <v>396</v>
      </c>
      <c r="D608" s="72" t="s">
        <v>5502</v>
      </c>
      <c r="E608" s="73" t="s">
        <v>19</v>
      </c>
      <c r="F608" s="75">
        <v>42272</v>
      </c>
      <c r="G608" s="82">
        <f>226.8</f>
        <v>226.8</v>
      </c>
      <c r="H608" s="79"/>
      <c r="I608" s="79"/>
      <c r="J608" s="79"/>
      <c r="K608" s="79"/>
      <c r="L608" s="79"/>
      <c r="M608" s="79"/>
      <c r="N608" s="79"/>
      <c r="O608" s="79"/>
      <c r="P608" s="79"/>
      <c r="Q608" s="79">
        <f t="shared" si="27"/>
        <v>226.8</v>
      </c>
      <c r="R608" s="79">
        <f t="shared" si="28"/>
        <v>0</v>
      </c>
      <c r="S608" s="79">
        <f t="shared" si="29"/>
        <v>226.8</v>
      </c>
    </row>
    <row r="609" spans="1:19" x14ac:dyDescent="0.2">
      <c r="A609" s="102" t="s">
        <v>5422</v>
      </c>
      <c r="B609" s="71" t="s">
        <v>5460</v>
      </c>
      <c r="C609" s="76">
        <v>397</v>
      </c>
      <c r="D609" s="72" t="s">
        <v>5503</v>
      </c>
      <c r="E609" s="73" t="s">
        <v>19</v>
      </c>
      <c r="F609" s="75">
        <v>42272</v>
      </c>
      <c r="G609" s="82"/>
      <c r="H609" s="79"/>
      <c r="I609" s="79"/>
      <c r="J609" s="79"/>
      <c r="K609" s="79"/>
      <c r="L609" s="79"/>
      <c r="M609" s="79"/>
      <c r="N609" s="79"/>
      <c r="O609" s="79"/>
      <c r="P609" s="79"/>
      <c r="Q609" s="79">
        <f t="shared" si="27"/>
        <v>0</v>
      </c>
      <c r="R609" s="79">
        <f t="shared" si="28"/>
        <v>0</v>
      </c>
      <c r="S609" s="79">
        <f t="shared" si="29"/>
        <v>0</v>
      </c>
    </row>
    <row r="610" spans="1:19" x14ac:dyDescent="0.2">
      <c r="A610" s="102" t="s">
        <v>5423</v>
      </c>
      <c r="B610" s="71" t="s">
        <v>5461</v>
      </c>
      <c r="C610" s="76">
        <v>398</v>
      </c>
      <c r="D610" s="72" t="s">
        <v>5504</v>
      </c>
      <c r="E610" s="73" t="s">
        <v>19</v>
      </c>
      <c r="F610" s="75">
        <v>42275</v>
      </c>
      <c r="G610" s="82">
        <f>75.52</f>
        <v>75.52</v>
      </c>
      <c r="H610" s="79"/>
      <c r="I610" s="79"/>
      <c r="J610" s="79"/>
      <c r="K610" s="79"/>
      <c r="L610" s="79"/>
      <c r="M610" s="79"/>
      <c r="N610" s="79"/>
      <c r="O610" s="79"/>
      <c r="P610" s="79"/>
      <c r="Q610" s="79">
        <f t="shared" si="27"/>
        <v>75.52</v>
      </c>
      <c r="R610" s="79">
        <f t="shared" si="28"/>
        <v>0</v>
      </c>
      <c r="S610" s="79">
        <f t="shared" si="29"/>
        <v>75.52</v>
      </c>
    </row>
    <row r="611" spans="1:19" x14ac:dyDescent="0.2">
      <c r="A611" s="102" t="s">
        <v>5423</v>
      </c>
      <c r="B611" s="71" t="s">
        <v>5461</v>
      </c>
      <c r="C611" s="76">
        <v>398</v>
      </c>
      <c r="D611" s="72" t="s">
        <v>5505</v>
      </c>
      <c r="E611" s="73" t="s">
        <v>19</v>
      </c>
      <c r="F611" s="75">
        <v>42275</v>
      </c>
      <c r="G611" s="82">
        <f>240+116.5+82.6+41.3+746.41+100.3</f>
        <v>1327.11</v>
      </c>
      <c r="H611" s="79"/>
      <c r="I611" s="79">
        <v>250</v>
      </c>
      <c r="J611" s="79"/>
      <c r="K611" s="79"/>
      <c r="L611" s="79"/>
      <c r="M611" s="79"/>
      <c r="N611" s="79"/>
      <c r="O611" s="79"/>
      <c r="P611" s="79"/>
      <c r="Q611" s="79">
        <f t="shared" si="27"/>
        <v>1577.11</v>
      </c>
      <c r="R611" s="79">
        <f t="shared" si="28"/>
        <v>0</v>
      </c>
      <c r="S611" s="79">
        <f t="shared" si="29"/>
        <v>1577.11</v>
      </c>
    </row>
    <row r="612" spans="1:19" x14ac:dyDescent="0.2">
      <c r="A612" s="102" t="s">
        <v>5424</v>
      </c>
      <c r="B612" s="71" t="s">
        <v>5462</v>
      </c>
      <c r="C612" s="76">
        <v>399</v>
      </c>
      <c r="D612" s="72" t="s">
        <v>5506</v>
      </c>
      <c r="E612" s="73" t="s">
        <v>19</v>
      </c>
      <c r="F612" s="75">
        <v>42275</v>
      </c>
      <c r="G612" s="82">
        <f>190.39</f>
        <v>190.39</v>
      </c>
      <c r="H612" s="79"/>
      <c r="I612" s="79"/>
      <c r="J612" s="79"/>
      <c r="K612" s="79"/>
      <c r="L612" s="79"/>
      <c r="M612" s="79"/>
      <c r="N612" s="79"/>
      <c r="O612" s="79"/>
      <c r="P612" s="79"/>
      <c r="Q612" s="79">
        <f t="shared" si="27"/>
        <v>190.39</v>
      </c>
      <c r="R612" s="79">
        <f t="shared" si="28"/>
        <v>0</v>
      </c>
      <c r="S612" s="79">
        <f t="shared" si="29"/>
        <v>190.39</v>
      </c>
    </row>
    <row r="613" spans="1:19" x14ac:dyDescent="0.2">
      <c r="A613" s="102" t="s">
        <v>5425</v>
      </c>
      <c r="B613" s="71" t="s">
        <v>5463</v>
      </c>
      <c r="C613" s="76">
        <v>400</v>
      </c>
      <c r="D613" s="72" t="s">
        <v>5507</v>
      </c>
      <c r="E613" s="73" t="s">
        <v>19</v>
      </c>
      <c r="F613" s="75">
        <v>42275</v>
      </c>
      <c r="G613" s="82">
        <f>230</f>
        <v>230</v>
      </c>
      <c r="H613" s="79"/>
      <c r="I613" s="79"/>
      <c r="J613" s="79"/>
      <c r="K613" s="79"/>
      <c r="L613" s="79"/>
      <c r="M613" s="79"/>
      <c r="N613" s="79"/>
      <c r="O613" s="79"/>
      <c r="P613" s="79"/>
      <c r="Q613" s="79">
        <f t="shared" si="27"/>
        <v>230</v>
      </c>
      <c r="R613" s="79">
        <f t="shared" si="28"/>
        <v>0</v>
      </c>
      <c r="S613" s="79">
        <f t="shared" si="29"/>
        <v>230</v>
      </c>
    </row>
    <row r="614" spans="1:19" x14ac:dyDescent="0.2">
      <c r="A614" s="102" t="s">
        <v>5426</v>
      </c>
      <c r="B614" s="71" t="s">
        <v>5464</v>
      </c>
      <c r="C614" s="76">
        <v>401</v>
      </c>
      <c r="D614" s="72" t="s">
        <v>5508</v>
      </c>
      <c r="E614" s="73" t="s">
        <v>19</v>
      </c>
      <c r="F614" s="75">
        <v>42276</v>
      </c>
      <c r="G614" s="82"/>
      <c r="H614" s="79"/>
      <c r="I614" s="79"/>
      <c r="J614" s="79"/>
      <c r="K614" s="79"/>
      <c r="L614" s="79"/>
      <c r="M614" s="79"/>
      <c r="N614" s="79"/>
      <c r="O614" s="79"/>
      <c r="P614" s="79"/>
      <c r="Q614" s="79">
        <f t="shared" si="27"/>
        <v>0</v>
      </c>
      <c r="R614" s="79">
        <f t="shared" si="28"/>
        <v>0</v>
      </c>
      <c r="S614" s="79">
        <f t="shared" si="29"/>
        <v>0</v>
      </c>
    </row>
    <row r="615" spans="1:19" x14ac:dyDescent="0.2">
      <c r="A615" s="102" t="s">
        <v>5427</v>
      </c>
      <c r="B615" s="71" t="s">
        <v>5465</v>
      </c>
      <c r="C615" s="76">
        <v>402</v>
      </c>
      <c r="D615" s="72" t="s">
        <v>5509</v>
      </c>
      <c r="E615" s="73" t="s">
        <v>19</v>
      </c>
      <c r="F615" s="75">
        <v>42277</v>
      </c>
      <c r="G615" s="82">
        <f>86.73</f>
        <v>86.73</v>
      </c>
      <c r="H615" s="79"/>
      <c r="I615" s="79"/>
      <c r="J615" s="79"/>
      <c r="K615" s="79"/>
      <c r="L615" s="79"/>
      <c r="M615" s="79"/>
      <c r="N615" s="79"/>
      <c r="O615" s="79"/>
      <c r="P615" s="79"/>
      <c r="Q615" s="79">
        <f t="shared" si="27"/>
        <v>86.73</v>
      </c>
      <c r="R615" s="79">
        <f t="shared" si="28"/>
        <v>0</v>
      </c>
      <c r="S615" s="79">
        <f t="shared" si="29"/>
        <v>86.73</v>
      </c>
    </row>
    <row r="616" spans="1:19" x14ac:dyDescent="0.2">
      <c r="A616" s="102" t="s">
        <v>5428</v>
      </c>
      <c r="B616" s="71" t="s">
        <v>5466</v>
      </c>
      <c r="C616" s="76">
        <v>403</v>
      </c>
      <c r="D616" s="72" t="s">
        <v>5510</v>
      </c>
      <c r="E616" s="73" t="s">
        <v>19</v>
      </c>
      <c r="F616" s="75">
        <v>42278</v>
      </c>
      <c r="G616" s="82">
        <f>145.73</f>
        <v>145.72999999999999</v>
      </c>
      <c r="H616" s="79"/>
      <c r="I616" s="79"/>
      <c r="J616" s="79"/>
      <c r="K616" s="79"/>
      <c r="L616" s="79"/>
      <c r="M616" s="79"/>
      <c r="N616" s="79"/>
      <c r="O616" s="79"/>
      <c r="P616" s="79"/>
      <c r="Q616" s="79">
        <f t="shared" si="27"/>
        <v>145.72999999999999</v>
      </c>
      <c r="R616" s="79">
        <f t="shared" si="28"/>
        <v>0</v>
      </c>
      <c r="S616" s="79">
        <f t="shared" si="29"/>
        <v>145.72999999999999</v>
      </c>
    </row>
    <row r="617" spans="1:19" x14ac:dyDescent="0.2">
      <c r="A617" s="102" t="s">
        <v>5429</v>
      </c>
      <c r="B617" s="71" t="s">
        <v>5467</v>
      </c>
      <c r="C617" s="76">
        <v>404</v>
      </c>
      <c r="D617" s="73" t="s">
        <v>5511</v>
      </c>
      <c r="E617" s="73" t="s">
        <v>19</v>
      </c>
      <c r="F617" s="75">
        <v>42279</v>
      </c>
      <c r="G617" s="82">
        <f>365.8</f>
        <v>365.8</v>
      </c>
      <c r="H617" s="79"/>
      <c r="I617" s="79"/>
      <c r="J617" s="79"/>
      <c r="K617" s="79"/>
      <c r="L617" s="79"/>
      <c r="M617" s="79"/>
      <c r="N617" s="79"/>
      <c r="O617" s="79"/>
      <c r="P617" s="79"/>
      <c r="Q617" s="79">
        <f t="shared" si="27"/>
        <v>365.8</v>
      </c>
      <c r="R617" s="79">
        <f t="shared" si="28"/>
        <v>0</v>
      </c>
      <c r="S617" s="79">
        <f t="shared" si="29"/>
        <v>365.8</v>
      </c>
    </row>
    <row r="618" spans="1:19" x14ac:dyDescent="0.2">
      <c r="A618" s="102" t="s">
        <v>5430</v>
      </c>
      <c r="B618" s="71" t="s">
        <v>5468</v>
      </c>
      <c r="C618" s="76">
        <v>405</v>
      </c>
      <c r="D618" s="72" t="s">
        <v>5512</v>
      </c>
      <c r="E618" s="73" t="s">
        <v>2068</v>
      </c>
      <c r="F618" s="75">
        <v>42282</v>
      </c>
      <c r="G618" s="82"/>
      <c r="H618" s="79"/>
      <c r="I618" s="79"/>
      <c r="J618" s="79"/>
      <c r="K618" s="79"/>
      <c r="L618" s="79"/>
      <c r="M618" s="79"/>
      <c r="N618" s="79"/>
      <c r="O618" s="79"/>
      <c r="P618" s="79"/>
      <c r="Q618" s="79">
        <f t="shared" si="27"/>
        <v>0</v>
      </c>
      <c r="R618" s="79">
        <f t="shared" si="28"/>
        <v>0</v>
      </c>
      <c r="S618" s="79">
        <f t="shared" si="29"/>
        <v>0</v>
      </c>
    </row>
    <row r="619" spans="1:19" x14ac:dyDescent="0.2">
      <c r="A619" s="102" t="s">
        <v>5430</v>
      </c>
      <c r="B619" s="71" t="s">
        <v>5468</v>
      </c>
      <c r="C619" s="76">
        <v>405</v>
      </c>
      <c r="D619" s="72" t="s">
        <v>5513</v>
      </c>
      <c r="E619" s="73" t="s">
        <v>2068</v>
      </c>
      <c r="F619" s="75">
        <v>42282</v>
      </c>
      <c r="G619" s="82"/>
      <c r="H619" s="79"/>
      <c r="I619" s="79"/>
      <c r="J619" s="79"/>
      <c r="K619" s="79"/>
      <c r="L619" s="79"/>
      <c r="M619" s="79"/>
      <c r="N619" s="79"/>
      <c r="O619" s="79"/>
      <c r="P619" s="79"/>
      <c r="Q619" s="79">
        <f t="shared" si="27"/>
        <v>0</v>
      </c>
      <c r="R619" s="79">
        <f t="shared" si="28"/>
        <v>0</v>
      </c>
      <c r="S619" s="79">
        <f t="shared" si="29"/>
        <v>0</v>
      </c>
    </row>
    <row r="620" spans="1:19" x14ac:dyDescent="0.2">
      <c r="A620" s="102" t="s">
        <v>5431</v>
      </c>
      <c r="B620" s="71" t="s">
        <v>5469</v>
      </c>
      <c r="C620" s="76">
        <v>406</v>
      </c>
      <c r="D620" s="72" t="s">
        <v>5514</v>
      </c>
      <c r="E620" s="73" t="s">
        <v>19</v>
      </c>
      <c r="F620" s="75">
        <v>42283</v>
      </c>
      <c r="G620" s="82">
        <f>57.58</f>
        <v>57.58</v>
      </c>
      <c r="H620" s="79"/>
      <c r="I620" s="79"/>
      <c r="J620" s="79"/>
      <c r="K620" s="79"/>
      <c r="L620" s="79"/>
      <c r="M620" s="79"/>
      <c r="N620" s="79"/>
      <c r="O620" s="79"/>
      <c r="P620" s="79"/>
      <c r="Q620" s="79">
        <f t="shared" si="27"/>
        <v>57.58</v>
      </c>
      <c r="R620" s="79">
        <f t="shared" si="28"/>
        <v>0</v>
      </c>
      <c r="S620" s="79">
        <f t="shared" si="29"/>
        <v>57.58</v>
      </c>
    </row>
    <row r="621" spans="1:19" x14ac:dyDescent="0.2">
      <c r="A621" s="102" t="s">
        <v>5431</v>
      </c>
      <c r="B621" s="71" t="s">
        <v>5469</v>
      </c>
      <c r="C621" s="76">
        <v>406</v>
      </c>
      <c r="D621" s="72" t="s">
        <v>5515</v>
      </c>
      <c r="E621" s="73" t="s">
        <v>19</v>
      </c>
      <c r="F621" s="75">
        <v>42283</v>
      </c>
      <c r="G621" s="82">
        <f>57.58</f>
        <v>57.58</v>
      </c>
      <c r="H621" s="79"/>
      <c r="I621" s="79"/>
      <c r="J621" s="79"/>
      <c r="K621" s="79"/>
      <c r="L621" s="79"/>
      <c r="M621" s="79"/>
      <c r="N621" s="79"/>
      <c r="O621" s="79"/>
      <c r="P621" s="79"/>
      <c r="Q621" s="79">
        <f t="shared" si="27"/>
        <v>57.58</v>
      </c>
      <c r="R621" s="79">
        <f t="shared" si="28"/>
        <v>0</v>
      </c>
      <c r="S621" s="79">
        <f t="shared" si="29"/>
        <v>57.58</v>
      </c>
    </row>
    <row r="622" spans="1:19" x14ac:dyDescent="0.2">
      <c r="A622" s="102" t="s">
        <v>5431</v>
      </c>
      <c r="B622" s="71" t="s">
        <v>5469</v>
      </c>
      <c r="C622" s="76">
        <v>406</v>
      </c>
      <c r="D622" s="72" t="s">
        <v>5516</v>
      </c>
      <c r="E622" s="73" t="s">
        <v>19</v>
      </c>
      <c r="F622" s="75">
        <v>42283</v>
      </c>
      <c r="G622" s="82">
        <f>57.58</f>
        <v>57.58</v>
      </c>
      <c r="H622" s="79"/>
      <c r="I622" s="79"/>
      <c r="J622" s="79"/>
      <c r="K622" s="79"/>
      <c r="L622" s="79"/>
      <c r="M622" s="79"/>
      <c r="N622" s="79"/>
      <c r="O622" s="79"/>
      <c r="P622" s="79"/>
      <c r="Q622" s="79">
        <f t="shared" si="27"/>
        <v>57.58</v>
      </c>
      <c r="R622" s="79">
        <f t="shared" si="28"/>
        <v>0</v>
      </c>
      <c r="S622" s="79">
        <f t="shared" si="29"/>
        <v>57.58</v>
      </c>
    </row>
    <row r="623" spans="1:19" x14ac:dyDescent="0.2">
      <c r="A623" s="102" t="s">
        <v>5432</v>
      </c>
      <c r="B623" s="71" t="s">
        <v>5470</v>
      </c>
      <c r="C623" s="76">
        <v>407</v>
      </c>
      <c r="D623" s="72" t="s">
        <v>5517</v>
      </c>
      <c r="E623" s="73" t="s">
        <v>19</v>
      </c>
      <c r="F623" s="75">
        <v>42282</v>
      </c>
      <c r="G623" s="82">
        <f>1804.04+41.3+25.23</f>
        <v>1870.57</v>
      </c>
      <c r="H623" s="79"/>
      <c r="I623" s="79">
        <v>150</v>
      </c>
      <c r="J623" s="79"/>
      <c r="K623" s="79"/>
      <c r="L623" s="79"/>
      <c r="M623" s="79"/>
      <c r="N623" s="79"/>
      <c r="O623" s="79"/>
      <c r="P623" s="79"/>
      <c r="Q623" s="79">
        <f t="shared" si="27"/>
        <v>2020.57</v>
      </c>
      <c r="R623" s="79">
        <f t="shared" si="28"/>
        <v>0</v>
      </c>
      <c r="S623" s="79">
        <f t="shared" si="29"/>
        <v>2020.57</v>
      </c>
    </row>
    <row r="624" spans="1:19" x14ac:dyDescent="0.2">
      <c r="A624" s="102" t="s">
        <v>5433</v>
      </c>
      <c r="B624" s="71" t="s">
        <v>5471</v>
      </c>
      <c r="C624" s="76">
        <v>408</v>
      </c>
      <c r="D624" s="72" t="s">
        <v>5518</v>
      </c>
      <c r="E624" s="73" t="s">
        <v>19</v>
      </c>
      <c r="F624" s="75">
        <v>42282</v>
      </c>
      <c r="G624" s="82">
        <f>6600.13+71.65+41.3+394.63+659.3</f>
        <v>7767.01</v>
      </c>
      <c r="H624" s="79"/>
      <c r="I624" s="79">
        <f>750</f>
        <v>750</v>
      </c>
      <c r="J624" s="79"/>
      <c r="K624" s="79"/>
      <c r="L624" s="79"/>
      <c r="M624" s="79"/>
      <c r="N624" s="79"/>
      <c r="O624" s="79"/>
      <c r="P624" s="79"/>
      <c r="Q624" s="79">
        <f t="shared" si="27"/>
        <v>8517.01</v>
      </c>
      <c r="R624" s="79">
        <f t="shared" si="28"/>
        <v>0</v>
      </c>
      <c r="S624" s="79">
        <f t="shared" si="29"/>
        <v>8517.01</v>
      </c>
    </row>
    <row r="625" spans="1:19" x14ac:dyDescent="0.2">
      <c r="A625" s="102" t="s">
        <v>5434</v>
      </c>
      <c r="B625" s="71" t="s">
        <v>5472</v>
      </c>
      <c r="C625" s="76">
        <v>409</v>
      </c>
      <c r="D625" s="72" t="s">
        <v>5519</v>
      </c>
      <c r="E625" s="73" t="s">
        <v>19</v>
      </c>
      <c r="F625" s="75">
        <v>42283</v>
      </c>
      <c r="G625" s="82">
        <f>498+1677.4+558</f>
        <v>2733.4</v>
      </c>
      <c r="H625" s="79"/>
      <c r="I625" s="79"/>
      <c r="J625" s="79"/>
      <c r="K625" s="79"/>
      <c r="L625" s="79"/>
      <c r="M625" s="79"/>
      <c r="N625" s="79"/>
      <c r="O625" s="79"/>
      <c r="P625" s="79"/>
      <c r="Q625" s="79">
        <f t="shared" si="27"/>
        <v>2733.4</v>
      </c>
      <c r="R625" s="79">
        <f t="shared" si="28"/>
        <v>0</v>
      </c>
      <c r="S625" s="79">
        <f t="shared" si="29"/>
        <v>2733.4</v>
      </c>
    </row>
    <row r="626" spans="1:19" x14ac:dyDescent="0.2">
      <c r="A626" s="102" t="s">
        <v>5435</v>
      </c>
      <c r="B626" s="71" t="s">
        <v>5473</v>
      </c>
      <c r="C626" s="76">
        <v>410</v>
      </c>
      <c r="D626" s="72" t="s">
        <v>5520</v>
      </c>
      <c r="E626" s="73" t="s">
        <v>19</v>
      </c>
      <c r="F626" s="75">
        <v>42284</v>
      </c>
      <c r="G626" s="82">
        <f>53.1+210.75</f>
        <v>263.85000000000002</v>
      </c>
      <c r="H626" s="79"/>
      <c r="I626" s="79"/>
      <c r="J626" s="79"/>
      <c r="K626" s="79"/>
      <c r="L626" s="79"/>
      <c r="M626" s="79"/>
      <c r="N626" s="79"/>
      <c r="O626" s="79"/>
      <c r="P626" s="79"/>
      <c r="Q626" s="79">
        <f t="shared" si="27"/>
        <v>263.85000000000002</v>
      </c>
      <c r="R626" s="79">
        <f t="shared" si="28"/>
        <v>0</v>
      </c>
      <c r="S626" s="79">
        <f t="shared" si="29"/>
        <v>263.85000000000002</v>
      </c>
    </row>
    <row r="627" spans="1:19" x14ac:dyDescent="0.2">
      <c r="A627" s="102" t="s">
        <v>5436</v>
      </c>
      <c r="B627" s="71" t="s">
        <v>5474</v>
      </c>
      <c r="C627" s="76">
        <v>411</v>
      </c>
      <c r="D627" s="72" t="s">
        <v>5521</v>
      </c>
      <c r="E627" s="73" t="s">
        <v>4064</v>
      </c>
      <c r="F627" s="75">
        <v>42286</v>
      </c>
      <c r="G627" s="82">
        <f>238+238+848.8</f>
        <v>1324.8</v>
      </c>
      <c r="H627" s="79"/>
      <c r="I627" s="79"/>
      <c r="J627" s="79"/>
      <c r="K627" s="79"/>
      <c r="L627" s="79"/>
      <c r="M627" s="79"/>
      <c r="N627" s="79"/>
      <c r="O627" s="79"/>
      <c r="P627" s="79"/>
      <c r="Q627" s="79">
        <f t="shared" si="27"/>
        <v>1324.8</v>
      </c>
      <c r="R627" s="79">
        <f t="shared" si="28"/>
        <v>0</v>
      </c>
      <c r="S627" s="79">
        <f t="shared" si="29"/>
        <v>1324.8</v>
      </c>
    </row>
    <row r="628" spans="1:19" x14ac:dyDescent="0.2">
      <c r="A628" s="102" t="s">
        <v>5436</v>
      </c>
      <c r="B628" s="71" t="s">
        <v>5474</v>
      </c>
      <c r="C628" s="76">
        <v>411</v>
      </c>
      <c r="D628" s="72" t="s">
        <v>5522</v>
      </c>
      <c r="E628" s="73" t="s">
        <v>4064</v>
      </c>
      <c r="F628" s="75">
        <v>42286</v>
      </c>
      <c r="G628" s="82">
        <f>238+75</f>
        <v>313</v>
      </c>
      <c r="H628" s="79"/>
      <c r="I628" s="79"/>
      <c r="J628" s="79"/>
      <c r="K628" s="79"/>
      <c r="L628" s="79"/>
      <c r="M628" s="79"/>
      <c r="N628" s="79"/>
      <c r="O628" s="79"/>
      <c r="P628" s="79"/>
      <c r="Q628" s="79">
        <f t="shared" si="27"/>
        <v>313</v>
      </c>
      <c r="R628" s="79">
        <f t="shared" si="28"/>
        <v>0</v>
      </c>
      <c r="S628" s="79">
        <f t="shared" si="29"/>
        <v>313</v>
      </c>
    </row>
    <row r="629" spans="1:19" x14ac:dyDescent="0.2">
      <c r="A629" s="102" t="s">
        <v>5436</v>
      </c>
      <c r="B629" s="71" t="s">
        <v>5474</v>
      </c>
      <c r="C629" s="76">
        <v>411</v>
      </c>
      <c r="D629" s="72" t="s">
        <v>5523</v>
      </c>
      <c r="E629" s="73" t="s">
        <v>4064</v>
      </c>
      <c r="F629" s="75">
        <v>42286</v>
      </c>
      <c r="G629" s="82">
        <f>427+16.3+0.6+389+11.7+404+4+19.6</f>
        <v>1272.2</v>
      </c>
      <c r="H629" s="79"/>
      <c r="I629" s="79"/>
      <c r="J629" s="79"/>
      <c r="K629" s="79"/>
      <c r="L629" s="79"/>
      <c r="M629" s="79"/>
      <c r="N629" s="79"/>
      <c r="O629" s="79"/>
      <c r="P629" s="79"/>
      <c r="Q629" s="79">
        <f t="shared" si="27"/>
        <v>1272.2</v>
      </c>
      <c r="R629" s="79">
        <f t="shared" si="28"/>
        <v>0</v>
      </c>
      <c r="S629" s="79">
        <f t="shared" si="29"/>
        <v>1272.2</v>
      </c>
    </row>
    <row r="630" spans="1:19" x14ac:dyDescent="0.2">
      <c r="A630" s="102" t="s">
        <v>5437</v>
      </c>
      <c r="B630" s="71" t="s">
        <v>5475</v>
      </c>
      <c r="C630" s="76">
        <v>412</v>
      </c>
      <c r="D630" s="72" t="s">
        <v>5524</v>
      </c>
      <c r="E630" s="73" t="s">
        <v>19</v>
      </c>
      <c r="F630" s="75">
        <v>42284</v>
      </c>
      <c r="G630" s="82">
        <f>1118.66+101.34+130.63+242.66+116.23+171.5+225.67+130.77</f>
        <v>2237.46</v>
      </c>
      <c r="H630" s="79"/>
      <c r="I630" s="79">
        <f>375</f>
        <v>375</v>
      </c>
      <c r="J630" s="79"/>
      <c r="K630" s="79"/>
      <c r="L630" s="79"/>
      <c r="M630" s="79"/>
      <c r="N630" s="79"/>
      <c r="O630" s="79"/>
      <c r="P630" s="79"/>
      <c r="Q630" s="79">
        <f t="shared" si="27"/>
        <v>2612.46</v>
      </c>
      <c r="R630" s="79">
        <f t="shared" si="28"/>
        <v>0</v>
      </c>
      <c r="S630" s="79">
        <f t="shared" si="29"/>
        <v>2612.46</v>
      </c>
    </row>
    <row r="631" spans="1:19" x14ac:dyDescent="0.2">
      <c r="A631" s="102" t="s">
        <v>5437</v>
      </c>
      <c r="B631" s="71" t="s">
        <v>5475</v>
      </c>
      <c r="C631" s="76">
        <v>412</v>
      </c>
      <c r="D631" s="72" t="s">
        <v>5525</v>
      </c>
      <c r="E631" s="73" t="s">
        <v>19</v>
      </c>
      <c r="F631" s="75">
        <v>42284</v>
      </c>
      <c r="G631" s="82">
        <f>2220.68+135.05+41.3+191.16</f>
        <v>2588.19</v>
      </c>
      <c r="H631" s="79"/>
      <c r="I631" s="79"/>
      <c r="J631" s="79"/>
      <c r="K631" s="79"/>
      <c r="L631" s="79"/>
      <c r="M631" s="79"/>
      <c r="N631" s="79"/>
      <c r="O631" s="79"/>
      <c r="P631" s="79"/>
      <c r="Q631" s="79">
        <f t="shared" si="27"/>
        <v>2588.19</v>
      </c>
      <c r="R631" s="79">
        <f t="shared" si="28"/>
        <v>0</v>
      </c>
      <c r="S631" s="79">
        <f t="shared" si="29"/>
        <v>2588.19</v>
      </c>
    </row>
    <row r="632" spans="1:19" x14ac:dyDescent="0.2">
      <c r="A632" s="102" t="s">
        <v>5437</v>
      </c>
      <c r="B632" s="71" t="s">
        <v>5475</v>
      </c>
      <c r="C632" s="76">
        <v>412</v>
      </c>
      <c r="D632" s="72" t="s">
        <v>5526</v>
      </c>
      <c r="E632" s="73" t="s">
        <v>19</v>
      </c>
      <c r="F632" s="75">
        <v>42284</v>
      </c>
      <c r="G632" s="82">
        <f>112.13</f>
        <v>112.13</v>
      </c>
      <c r="H632" s="79"/>
      <c r="I632" s="79"/>
      <c r="J632" s="79"/>
      <c r="K632" s="79"/>
      <c r="L632" s="79"/>
      <c r="M632" s="79"/>
      <c r="N632" s="79"/>
      <c r="O632" s="79"/>
      <c r="P632" s="79"/>
      <c r="Q632" s="79">
        <f t="shared" si="27"/>
        <v>112.13</v>
      </c>
      <c r="R632" s="79">
        <f t="shared" si="28"/>
        <v>0</v>
      </c>
      <c r="S632" s="79">
        <f t="shared" si="29"/>
        <v>112.13</v>
      </c>
    </row>
    <row r="633" spans="1:19" x14ac:dyDescent="0.2">
      <c r="A633" s="102" t="s">
        <v>5438</v>
      </c>
      <c r="B633" s="71" t="s">
        <v>5476</v>
      </c>
      <c r="C633" s="76">
        <v>413</v>
      </c>
      <c r="D633" s="72" t="s">
        <v>5527</v>
      </c>
      <c r="E633" s="73" t="s">
        <v>19</v>
      </c>
      <c r="F633" s="75">
        <v>42287</v>
      </c>
      <c r="G633" s="82">
        <f>71.8+98.53+240</f>
        <v>410.33</v>
      </c>
      <c r="H633" s="79"/>
      <c r="I633" s="79">
        <v>250</v>
      </c>
      <c r="J633" s="79"/>
      <c r="K633" s="79"/>
      <c r="L633" s="79"/>
      <c r="M633" s="79"/>
      <c r="N633" s="79"/>
      <c r="O633" s="79"/>
      <c r="P633" s="79"/>
      <c r="Q633" s="79">
        <f t="shared" si="27"/>
        <v>660.32999999999993</v>
      </c>
      <c r="R633" s="79">
        <f t="shared" si="28"/>
        <v>0</v>
      </c>
      <c r="S633" s="79">
        <f t="shared" si="29"/>
        <v>660.32999999999993</v>
      </c>
    </row>
    <row r="634" spans="1:19" x14ac:dyDescent="0.2">
      <c r="A634" s="102" t="s">
        <v>5439</v>
      </c>
      <c r="B634" s="71" t="s">
        <v>5477</v>
      </c>
      <c r="C634" s="76">
        <v>414</v>
      </c>
      <c r="D634" s="72" t="s">
        <v>5528</v>
      </c>
      <c r="E634" s="73" t="s">
        <v>19</v>
      </c>
      <c r="F634" s="75">
        <v>42287</v>
      </c>
      <c r="G634" s="82">
        <v>101.3</v>
      </c>
      <c r="H634" s="79"/>
      <c r="I634" s="79"/>
      <c r="J634" s="79"/>
      <c r="K634" s="79"/>
      <c r="L634" s="79"/>
      <c r="M634" s="79"/>
      <c r="N634" s="79"/>
      <c r="O634" s="79"/>
      <c r="P634" s="79"/>
      <c r="Q634" s="79">
        <f t="shared" si="27"/>
        <v>101.3</v>
      </c>
      <c r="R634" s="79">
        <f t="shared" si="28"/>
        <v>0</v>
      </c>
      <c r="S634" s="79">
        <f t="shared" si="29"/>
        <v>101.3</v>
      </c>
    </row>
    <row r="635" spans="1:19" x14ac:dyDescent="0.2">
      <c r="A635" s="102" t="s">
        <v>5439</v>
      </c>
      <c r="B635" s="71" t="s">
        <v>5477</v>
      </c>
      <c r="C635" s="76">
        <v>414</v>
      </c>
      <c r="D635" s="72" t="s">
        <v>5529</v>
      </c>
      <c r="E635" s="73" t="s">
        <v>19</v>
      </c>
      <c r="F635" s="75">
        <v>42287</v>
      </c>
      <c r="G635" s="82">
        <f>50.8</f>
        <v>50.8</v>
      </c>
      <c r="H635" s="79"/>
      <c r="I635" s="79"/>
      <c r="J635" s="79"/>
      <c r="K635" s="79"/>
      <c r="L635" s="79"/>
      <c r="M635" s="79"/>
      <c r="N635" s="79"/>
      <c r="O635" s="79"/>
      <c r="P635" s="79"/>
      <c r="Q635" s="79">
        <f t="shared" si="27"/>
        <v>50.8</v>
      </c>
      <c r="R635" s="79">
        <f t="shared" si="28"/>
        <v>0</v>
      </c>
      <c r="S635" s="79">
        <f t="shared" si="29"/>
        <v>50.8</v>
      </c>
    </row>
    <row r="636" spans="1:19" x14ac:dyDescent="0.2">
      <c r="A636" s="102" t="s">
        <v>5439</v>
      </c>
      <c r="B636" s="71" t="s">
        <v>5477</v>
      </c>
      <c r="C636" s="76">
        <v>414</v>
      </c>
      <c r="D636" s="72" t="s">
        <v>5530</v>
      </c>
      <c r="E636" s="73" t="s">
        <v>19</v>
      </c>
      <c r="F636" s="75">
        <v>42287</v>
      </c>
      <c r="G636" s="82">
        <f>40</f>
        <v>40</v>
      </c>
      <c r="H636" s="79"/>
      <c r="I636" s="79"/>
      <c r="J636" s="79"/>
      <c r="K636" s="79"/>
      <c r="L636" s="79"/>
      <c r="M636" s="79"/>
      <c r="N636" s="79"/>
      <c r="O636" s="79"/>
      <c r="P636" s="79"/>
      <c r="Q636" s="79">
        <f t="shared" si="27"/>
        <v>40</v>
      </c>
      <c r="R636" s="79">
        <f t="shared" si="28"/>
        <v>0</v>
      </c>
      <c r="S636" s="79">
        <f t="shared" si="29"/>
        <v>40</v>
      </c>
    </row>
    <row r="637" spans="1:19" x14ac:dyDescent="0.2">
      <c r="A637" s="102" t="s">
        <v>5439</v>
      </c>
      <c r="B637" s="71" t="s">
        <v>5477</v>
      </c>
      <c r="C637" s="76">
        <v>414</v>
      </c>
      <c r="D637" s="72" t="s">
        <v>5531</v>
      </c>
      <c r="E637" s="73" t="s">
        <v>19</v>
      </c>
      <c r="F637" s="75">
        <v>42287</v>
      </c>
      <c r="G637" s="82">
        <f>75.4</f>
        <v>75.400000000000006</v>
      </c>
      <c r="H637" s="79"/>
      <c r="I637" s="79"/>
      <c r="J637" s="79"/>
      <c r="K637" s="79"/>
      <c r="L637" s="79"/>
      <c r="M637" s="79"/>
      <c r="N637" s="79"/>
      <c r="O637" s="79"/>
      <c r="P637" s="79"/>
      <c r="Q637" s="79">
        <f t="shared" si="27"/>
        <v>75.400000000000006</v>
      </c>
      <c r="R637" s="79">
        <f t="shared" si="28"/>
        <v>0</v>
      </c>
      <c r="S637" s="79">
        <f t="shared" si="29"/>
        <v>75.400000000000006</v>
      </c>
    </row>
    <row r="638" spans="1:19" x14ac:dyDescent="0.2">
      <c r="A638" s="102" t="s">
        <v>5533</v>
      </c>
      <c r="B638" s="71" t="s">
        <v>5580</v>
      </c>
      <c r="C638" s="76">
        <v>415</v>
      </c>
      <c r="D638" s="72" t="s">
        <v>5626</v>
      </c>
      <c r="E638" s="73" t="s">
        <v>19</v>
      </c>
      <c r="F638" s="75">
        <v>42287</v>
      </c>
      <c r="G638" s="82">
        <f>558+612</f>
        <v>1170</v>
      </c>
      <c r="H638" s="79"/>
      <c r="I638" s="79"/>
      <c r="J638" s="79"/>
      <c r="K638" s="79"/>
      <c r="L638" s="79"/>
      <c r="M638" s="79"/>
      <c r="N638" s="79"/>
      <c r="O638" s="79"/>
      <c r="P638" s="79"/>
      <c r="Q638" s="79">
        <f t="shared" si="27"/>
        <v>1170</v>
      </c>
      <c r="R638" s="79">
        <f t="shared" si="28"/>
        <v>0</v>
      </c>
      <c r="S638" s="79">
        <f t="shared" si="29"/>
        <v>1170</v>
      </c>
    </row>
    <row r="639" spans="1:19" x14ac:dyDescent="0.2">
      <c r="A639" s="102" t="s">
        <v>5534</v>
      </c>
      <c r="B639" s="71" t="s">
        <v>5581</v>
      </c>
      <c r="C639" s="76">
        <v>416</v>
      </c>
      <c r="D639" s="72" t="s">
        <v>5627</v>
      </c>
      <c r="E639" s="73" t="s">
        <v>19</v>
      </c>
      <c r="F639" s="75">
        <v>42287</v>
      </c>
      <c r="G639" s="82">
        <f>40</f>
        <v>40</v>
      </c>
      <c r="H639" s="79"/>
      <c r="I639" s="79"/>
      <c r="J639" s="79"/>
      <c r="K639" s="79"/>
      <c r="L639" s="79"/>
      <c r="M639" s="79"/>
      <c r="N639" s="79"/>
      <c r="O639" s="79"/>
      <c r="P639" s="79"/>
      <c r="Q639" s="79">
        <f t="shared" si="27"/>
        <v>40</v>
      </c>
      <c r="R639" s="79">
        <f t="shared" si="28"/>
        <v>0</v>
      </c>
      <c r="S639" s="79">
        <f t="shared" si="29"/>
        <v>40</v>
      </c>
    </row>
    <row r="640" spans="1:19" x14ac:dyDescent="0.2">
      <c r="A640" s="102" t="s">
        <v>5534</v>
      </c>
      <c r="B640" s="71" t="s">
        <v>5581</v>
      </c>
      <c r="C640" s="76">
        <v>416</v>
      </c>
      <c r="D640" s="72" t="s">
        <v>5628</v>
      </c>
      <c r="E640" s="73" t="s">
        <v>19</v>
      </c>
      <c r="F640" s="75">
        <v>42287</v>
      </c>
      <c r="G640" s="82">
        <f>49.4</f>
        <v>49.4</v>
      </c>
      <c r="H640" s="79"/>
      <c r="I640" s="79"/>
      <c r="J640" s="79"/>
      <c r="K640" s="79"/>
      <c r="L640" s="79"/>
      <c r="M640" s="79"/>
      <c r="N640" s="79"/>
      <c r="O640" s="79"/>
      <c r="P640" s="79"/>
      <c r="Q640" s="79">
        <f t="shared" si="27"/>
        <v>49.4</v>
      </c>
      <c r="R640" s="79">
        <f t="shared" si="28"/>
        <v>0</v>
      </c>
      <c r="S640" s="79">
        <f t="shared" si="29"/>
        <v>49.4</v>
      </c>
    </row>
    <row r="641" spans="1:19" x14ac:dyDescent="0.2">
      <c r="A641" s="102" t="s">
        <v>5534</v>
      </c>
      <c r="B641" s="71" t="s">
        <v>5581</v>
      </c>
      <c r="C641" s="76">
        <v>416</v>
      </c>
      <c r="D641" s="72" t="s">
        <v>5629</v>
      </c>
      <c r="E641" s="73" t="s">
        <v>19</v>
      </c>
      <c r="F641" s="75">
        <v>42287</v>
      </c>
      <c r="G641" s="82">
        <f>115+140</f>
        <v>255</v>
      </c>
      <c r="H641" s="79"/>
      <c r="I641" s="79">
        <v>175</v>
      </c>
      <c r="J641" s="79"/>
      <c r="K641" s="79"/>
      <c r="L641" s="79"/>
      <c r="M641" s="79"/>
      <c r="N641" s="79"/>
      <c r="O641" s="79"/>
      <c r="P641" s="79"/>
      <c r="Q641" s="79">
        <f t="shared" si="27"/>
        <v>430</v>
      </c>
      <c r="R641" s="79">
        <f t="shared" si="28"/>
        <v>0</v>
      </c>
      <c r="S641" s="79">
        <f t="shared" si="29"/>
        <v>430</v>
      </c>
    </row>
    <row r="642" spans="1:19" x14ac:dyDescent="0.2">
      <c r="A642" s="102" t="s">
        <v>5535</v>
      </c>
      <c r="B642" s="71" t="s">
        <v>5582</v>
      </c>
      <c r="C642" s="76">
        <v>417</v>
      </c>
      <c r="D642" s="72" t="s">
        <v>5630</v>
      </c>
      <c r="E642" s="73" t="s">
        <v>19</v>
      </c>
      <c r="F642" s="75">
        <v>42289</v>
      </c>
      <c r="G642" s="82"/>
      <c r="H642" s="79"/>
      <c r="I642" s="79"/>
      <c r="J642" s="79"/>
      <c r="K642" s="79"/>
      <c r="L642" s="79"/>
      <c r="M642" s="79"/>
      <c r="N642" s="79"/>
      <c r="O642" s="79"/>
      <c r="P642" s="79"/>
      <c r="Q642" s="79">
        <f t="shared" si="27"/>
        <v>0</v>
      </c>
      <c r="R642" s="79">
        <f t="shared" si="28"/>
        <v>0</v>
      </c>
      <c r="S642" s="79">
        <f t="shared" si="29"/>
        <v>0</v>
      </c>
    </row>
    <row r="643" spans="1:19" x14ac:dyDescent="0.2">
      <c r="A643" s="102" t="s">
        <v>5536</v>
      </c>
      <c r="B643" s="71" t="s">
        <v>5583</v>
      </c>
      <c r="C643" s="76">
        <v>418</v>
      </c>
      <c r="D643" s="72" t="s">
        <v>5631</v>
      </c>
      <c r="E643" s="73" t="s">
        <v>19</v>
      </c>
      <c r="F643" s="75">
        <v>42291</v>
      </c>
      <c r="G643" s="82">
        <f>319.54</f>
        <v>319.54000000000002</v>
      </c>
      <c r="H643" s="79"/>
      <c r="I643" s="79"/>
      <c r="J643" s="79"/>
      <c r="K643" s="79"/>
      <c r="L643" s="79"/>
      <c r="M643" s="79">
        <v>3800</v>
      </c>
      <c r="N643" s="79"/>
      <c r="O643" s="79">
        <v>15400</v>
      </c>
      <c r="P643" s="79"/>
      <c r="Q643" s="79">
        <f t="shared" si="27"/>
        <v>19519.54</v>
      </c>
      <c r="R643" s="79">
        <f t="shared" si="28"/>
        <v>0</v>
      </c>
      <c r="S643" s="79">
        <f t="shared" si="29"/>
        <v>19519.54</v>
      </c>
    </row>
    <row r="644" spans="1:19" x14ac:dyDescent="0.2">
      <c r="A644" s="102" t="s">
        <v>5537</v>
      </c>
      <c r="B644" s="71" t="s">
        <v>5584</v>
      </c>
      <c r="C644" s="76">
        <v>419</v>
      </c>
      <c r="D644" s="72" t="s">
        <v>5632</v>
      </c>
      <c r="E644" s="73" t="s">
        <v>19</v>
      </c>
      <c r="F644" s="75">
        <v>42290</v>
      </c>
      <c r="G644" s="82">
        <f>83+41.3+41.3</f>
        <v>165.6</v>
      </c>
      <c r="H644" s="79"/>
      <c r="I644" s="79"/>
      <c r="J644" s="79"/>
      <c r="K644" s="79"/>
      <c r="L644" s="79"/>
      <c r="M644" s="79"/>
      <c r="N644" s="79"/>
      <c r="O644" s="79"/>
      <c r="P644" s="79"/>
      <c r="Q644" s="79">
        <f t="shared" si="27"/>
        <v>165.6</v>
      </c>
      <c r="R644" s="79">
        <f t="shared" si="28"/>
        <v>0</v>
      </c>
      <c r="S644" s="79">
        <f t="shared" si="29"/>
        <v>165.6</v>
      </c>
    </row>
    <row r="645" spans="1:19" x14ac:dyDescent="0.2">
      <c r="A645" s="102" t="s">
        <v>5538</v>
      </c>
      <c r="B645" s="71" t="s">
        <v>5585</v>
      </c>
      <c r="C645" s="76">
        <v>420</v>
      </c>
      <c r="D645" s="72" t="s">
        <v>5633</v>
      </c>
      <c r="E645" s="73" t="s">
        <v>19</v>
      </c>
      <c r="F645" s="75">
        <v>42291</v>
      </c>
      <c r="G645" s="82">
        <f>92.63</f>
        <v>92.63</v>
      </c>
      <c r="H645" s="79"/>
      <c r="I645" s="79"/>
      <c r="J645" s="79"/>
      <c r="K645" s="79"/>
      <c r="L645" s="79"/>
      <c r="M645" s="79"/>
      <c r="N645" s="79"/>
      <c r="O645" s="79"/>
      <c r="P645" s="79"/>
      <c r="Q645" s="79">
        <f t="shared" si="27"/>
        <v>92.63</v>
      </c>
      <c r="R645" s="79">
        <f t="shared" si="28"/>
        <v>0</v>
      </c>
      <c r="S645" s="79">
        <f t="shared" si="29"/>
        <v>92.63</v>
      </c>
    </row>
    <row r="646" spans="1:19" x14ac:dyDescent="0.2">
      <c r="A646" s="102" t="s">
        <v>5538</v>
      </c>
      <c r="B646" s="71" t="s">
        <v>5585</v>
      </c>
      <c r="C646" s="76">
        <v>420</v>
      </c>
      <c r="D646" s="72" t="s">
        <v>5634</v>
      </c>
      <c r="E646" s="73" t="s">
        <v>19</v>
      </c>
      <c r="F646" s="75">
        <v>42291</v>
      </c>
      <c r="G646" s="82">
        <f>83.19</f>
        <v>83.19</v>
      </c>
      <c r="H646" s="79"/>
      <c r="I646" s="79"/>
      <c r="J646" s="79"/>
      <c r="K646" s="79"/>
      <c r="L646" s="79"/>
      <c r="M646" s="79"/>
      <c r="N646" s="79"/>
      <c r="O646" s="79"/>
      <c r="P646" s="79"/>
      <c r="Q646" s="79">
        <f t="shared" si="27"/>
        <v>83.19</v>
      </c>
      <c r="R646" s="79">
        <f t="shared" si="28"/>
        <v>0</v>
      </c>
      <c r="S646" s="79">
        <f t="shared" si="29"/>
        <v>83.19</v>
      </c>
    </row>
    <row r="647" spans="1:19" x14ac:dyDescent="0.2">
      <c r="A647" s="102" t="s">
        <v>5538</v>
      </c>
      <c r="B647" s="71" t="s">
        <v>5585</v>
      </c>
      <c r="C647" s="76">
        <v>420</v>
      </c>
      <c r="D647" s="72" t="s">
        <v>5635</v>
      </c>
      <c r="E647" s="73" t="s">
        <v>19</v>
      </c>
      <c r="F647" s="75">
        <v>42291</v>
      </c>
      <c r="G647" s="82">
        <f>47.2</f>
        <v>47.2</v>
      </c>
      <c r="H647" s="79"/>
      <c r="I647" s="79"/>
      <c r="J647" s="79"/>
      <c r="K647" s="79"/>
      <c r="L647" s="79"/>
      <c r="M647" s="79"/>
      <c r="N647" s="79"/>
      <c r="O647" s="79"/>
      <c r="P647" s="79"/>
      <c r="Q647" s="79">
        <f t="shared" si="27"/>
        <v>47.2</v>
      </c>
      <c r="R647" s="79">
        <f t="shared" si="28"/>
        <v>0</v>
      </c>
      <c r="S647" s="79">
        <f t="shared" si="29"/>
        <v>47.2</v>
      </c>
    </row>
    <row r="648" spans="1:19" x14ac:dyDescent="0.2">
      <c r="A648" s="102" t="s">
        <v>5538</v>
      </c>
      <c r="B648" s="71" t="s">
        <v>5585</v>
      </c>
      <c r="C648" s="76">
        <v>420</v>
      </c>
      <c r="D648" s="72" t="s">
        <v>5636</v>
      </c>
      <c r="E648" s="73" t="s">
        <v>19</v>
      </c>
      <c r="F648" s="75">
        <v>42291</v>
      </c>
      <c r="G648" s="82">
        <f>82.6</f>
        <v>82.6</v>
      </c>
      <c r="H648" s="79"/>
      <c r="I648" s="79"/>
      <c r="J648" s="79"/>
      <c r="K648" s="79"/>
      <c r="L648" s="79"/>
      <c r="M648" s="79"/>
      <c r="N648" s="79"/>
      <c r="O648" s="79"/>
      <c r="P648" s="79"/>
      <c r="Q648" s="79">
        <f t="shared" ref="Q648:Q711" si="30">+G648+I648+K648+M648+O648</f>
        <v>82.6</v>
      </c>
      <c r="R648" s="79">
        <f t="shared" ref="R648:R711" si="31">+H648+J648+L648+N648+P648</f>
        <v>0</v>
      </c>
      <c r="S648" s="79">
        <f t="shared" ref="S648:S711" si="32">+Q648+R648</f>
        <v>82.6</v>
      </c>
    </row>
    <row r="649" spans="1:19" x14ac:dyDescent="0.2">
      <c r="A649" s="102" t="s">
        <v>5539</v>
      </c>
      <c r="B649" s="71" t="s">
        <v>5586</v>
      </c>
      <c r="C649" s="76">
        <v>421</v>
      </c>
      <c r="D649" s="72" t="s">
        <v>5637</v>
      </c>
      <c r="E649" s="73" t="s">
        <v>19</v>
      </c>
      <c r="F649" s="75">
        <v>42291</v>
      </c>
      <c r="G649" s="82">
        <f>238+211.1</f>
        <v>449.1</v>
      </c>
      <c r="H649" s="79"/>
      <c r="I649" s="79"/>
      <c r="J649" s="79"/>
      <c r="K649" s="79"/>
      <c r="L649" s="79"/>
      <c r="M649" s="79"/>
      <c r="N649" s="79"/>
      <c r="O649" s="79"/>
      <c r="P649" s="79"/>
      <c r="Q649" s="79">
        <f t="shared" si="30"/>
        <v>449.1</v>
      </c>
      <c r="R649" s="79">
        <f t="shared" si="31"/>
        <v>0</v>
      </c>
      <c r="S649" s="79">
        <f t="shared" si="32"/>
        <v>449.1</v>
      </c>
    </row>
    <row r="650" spans="1:19" x14ac:dyDescent="0.2">
      <c r="A650" s="102"/>
      <c r="B650" s="71"/>
      <c r="C650" s="76">
        <v>422</v>
      </c>
      <c r="D650" s="72" t="s">
        <v>4784</v>
      </c>
      <c r="E650" s="73"/>
      <c r="F650" s="71"/>
      <c r="G650" s="82"/>
      <c r="H650" s="79"/>
      <c r="I650" s="79"/>
      <c r="J650" s="79"/>
      <c r="K650" s="79"/>
      <c r="L650" s="79"/>
      <c r="M650" s="79"/>
      <c r="N650" s="79"/>
      <c r="O650" s="79"/>
      <c r="P650" s="79"/>
      <c r="Q650" s="79">
        <f t="shared" si="30"/>
        <v>0</v>
      </c>
      <c r="R650" s="79">
        <f t="shared" si="31"/>
        <v>0</v>
      </c>
      <c r="S650" s="79">
        <f t="shared" si="32"/>
        <v>0</v>
      </c>
    </row>
    <row r="651" spans="1:19" x14ac:dyDescent="0.2">
      <c r="A651" s="102" t="s">
        <v>5540</v>
      </c>
      <c r="B651" s="71" t="s">
        <v>5587</v>
      </c>
      <c r="C651" s="76">
        <v>423</v>
      </c>
      <c r="D651" s="72" t="s">
        <v>5638</v>
      </c>
      <c r="E651" s="73" t="s">
        <v>19</v>
      </c>
      <c r="F651" s="75">
        <v>42293</v>
      </c>
      <c r="G651" s="82">
        <f>196</f>
        <v>196</v>
      </c>
      <c r="H651" s="79"/>
      <c r="I651" s="79"/>
      <c r="J651" s="79"/>
      <c r="K651" s="79"/>
      <c r="L651" s="79"/>
      <c r="M651" s="79"/>
      <c r="N651" s="79"/>
      <c r="O651" s="79"/>
      <c r="P651" s="79"/>
      <c r="Q651" s="79">
        <f t="shared" si="30"/>
        <v>196</v>
      </c>
      <c r="R651" s="79">
        <f t="shared" si="31"/>
        <v>0</v>
      </c>
      <c r="S651" s="79">
        <f t="shared" si="32"/>
        <v>196</v>
      </c>
    </row>
    <row r="652" spans="1:19" x14ac:dyDescent="0.2">
      <c r="A652" s="102" t="s">
        <v>5541</v>
      </c>
      <c r="B652" s="71" t="s">
        <v>1122</v>
      </c>
      <c r="C652" s="76">
        <v>424</v>
      </c>
      <c r="D652" s="72" t="s">
        <v>5639</v>
      </c>
      <c r="E652" s="73" t="s">
        <v>19</v>
      </c>
      <c r="F652" s="75">
        <v>42293</v>
      </c>
      <c r="G652" s="82">
        <f>233.2</f>
        <v>233.2</v>
      </c>
      <c r="H652" s="79"/>
      <c r="I652" s="79">
        <v>750</v>
      </c>
      <c r="J652" s="79"/>
      <c r="K652" s="79"/>
      <c r="L652" s="79"/>
      <c r="M652" s="79"/>
      <c r="N652" s="79"/>
      <c r="O652" s="79"/>
      <c r="P652" s="79"/>
      <c r="Q652" s="79">
        <f t="shared" si="30"/>
        <v>983.2</v>
      </c>
      <c r="R652" s="79">
        <f t="shared" si="31"/>
        <v>0</v>
      </c>
      <c r="S652" s="79">
        <f t="shared" si="32"/>
        <v>983.2</v>
      </c>
    </row>
    <row r="653" spans="1:19" x14ac:dyDescent="0.2">
      <c r="A653" s="102" t="s">
        <v>5542</v>
      </c>
      <c r="B653" s="71" t="s">
        <v>5588</v>
      </c>
      <c r="C653" s="76">
        <v>425</v>
      </c>
      <c r="D653" s="72" t="s">
        <v>5640</v>
      </c>
      <c r="E653" s="73" t="s">
        <v>19</v>
      </c>
      <c r="F653" s="75">
        <v>42293</v>
      </c>
      <c r="G653" s="82">
        <f>165.4</f>
        <v>165.4</v>
      </c>
      <c r="H653" s="79"/>
      <c r="I653" s="79"/>
      <c r="J653" s="79"/>
      <c r="K653" s="79"/>
      <c r="L653" s="79"/>
      <c r="M653" s="79"/>
      <c r="N653" s="79"/>
      <c r="O653" s="79"/>
      <c r="P653" s="79"/>
      <c r="Q653" s="79">
        <f t="shared" si="30"/>
        <v>165.4</v>
      </c>
      <c r="R653" s="79">
        <f t="shared" si="31"/>
        <v>0</v>
      </c>
      <c r="S653" s="79">
        <f t="shared" si="32"/>
        <v>165.4</v>
      </c>
    </row>
    <row r="654" spans="1:19" x14ac:dyDescent="0.2">
      <c r="A654" s="102" t="s">
        <v>5542</v>
      </c>
      <c r="B654" s="71" t="s">
        <v>5588</v>
      </c>
      <c r="C654" s="76">
        <v>425</v>
      </c>
      <c r="D654" s="72" t="s">
        <v>5641</v>
      </c>
      <c r="E654" s="73" t="s">
        <v>19</v>
      </c>
      <c r="F654" s="75">
        <v>42293</v>
      </c>
      <c r="G654" s="82">
        <f>157.9</f>
        <v>157.9</v>
      </c>
      <c r="H654" s="79"/>
      <c r="I654" s="79"/>
      <c r="J654" s="79"/>
      <c r="K654" s="79"/>
      <c r="L654" s="79"/>
      <c r="M654" s="79"/>
      <c r="N654" s="79"/>
      <c r="O654" s="79"/>
      <c r="P654" s="79"/>
      <c r="Q654" s="79">
        <f t="shared" si="30"/>
        <v>157.9</v>
      </c>
      <c r="R654" s="79">
        <f t="shared" si="31"/>
        <v>0</v>
      </c>
      <c r="S654" s="79">
        <f t="shared" si="32"/>
        <v>157.9</v>
      </c>
    </row>
    <row r="655" spans="1:19" x14ac:dyDescent="0.2">
      <c r="A655" s="102" t="s">
        <v>5542</v>
      </c>
      <c r="B655" s="71" t="s">
        <v>5588</v>
      </c>
      <c r="C655" s="76">
        <v>425</v>
      </c>
      <c r="D655" s="72" t="s">
        <v>5642</v>
      </c>
      <c r="E655" s="73" t="s">
        <v>19</v>
      </c>
      <c r="F655" s="75">
        <v>42293</v>
      </c>
      <c r="G655" s="82">
        <f>98</f>
        <v>98</v>
      </c>
      <c r="H655" s="79"/>
      <c r="I655" s="79"/>
      <c r="J655" s="79"/>
      <c r="K655" s="79"/>
      <c r="L655" s="79"/>
      <c r="M655" s="79"/>
      <c r="N655" s="79"/>
      <c r="O655" s="79"/>
      <c r="P655" s="79"/>
      <c r="Q655" s="79">
        <f t="shared" si="30"/>
        <v>98</v>
      </c>
      <c r="R655" s="79">
        <f t="shared" si="31"/>
        <v>0</v>
      </c>
      <c r="S655" s="79">
        <f t="shared" si="32"/>
        <v>98</v>
      </c>
    </row>
    <row r="656" spans="1:19" x14ac:dyDescent="0.2">
      <c r="A656" s="102" t="s">
        <v>5543</v>
      </c>
      <c r="B656" s="71" t="s">
        <v>5589</v>
      </c>
      <c r="C656" s="76">
        <v>426</v>
      </c>
      <c r="D656" s="72" t="s">
        <v>5643</v>
      </c>
      <c r="E656" s="73" t="s">
        <v>19</v>
      </c>
      <c r="F656" s="75">
        <v>42293</v>
      </c>
      <c r="G656" s="82">
        <f>223.61</f>
        <v>223.61</v>
      </c>
      <c r="H656" s="79"/>
      <c r="I656" s="79"/>
      <c r="J656" s="79"/>
      <c r="K656" s="79"/>
      <c r="L656" s="79"/>
      <c r="M656" s="79"/>
      <c r="N656" s="79"/>
      <c r="O656" s="79"/>
      <c r="P656" s="79"/>
      <c r="Q656" s="79">
        <f t="shared" si="30"/>
        <v>223.61</v>
      </c>
      <c r="R656" s="79">
        <f t="shared" si="31"/>
        <v>0</v>
      </c>
      <c r="S656" s="79">
        <f t="shared" si="32"/>
        <v>223.61</v>
      </c>
    </row>
    <row r="657" spans="1:19" x14ac:dyDescent="0.2">
      <c r="A657" s="102" t="s">
        <v>5544</v>
      </c>
      <c r="B657" s="71" t="s">
        <v>5590</v>
      </c>
      <c r="C657" s="76">
        <v>427</v>
      </c>
      <c r="D657" s="72" t="s">
        <v>5644</v>
      </c>
      <c r="E657" s="73" t="s">
        <v>19</v>
      </c>
      <c r="F657" s="75">
        <v>42293</v>
      </c>
      <c r="G657" s="82">
        <f>459.45+41.3+156.7+41.3+65.61+371.3+41.3</f>
        <v>1176.96</v>
      </c>
      <c r="H657" s="79"/>
      <c r="I657" s="79">
        <f>987.5*2</f>
        <v>1975</v>
      </c>
      <c r="J657" s="79"/>
      <c r="K657" s="79"/>
      <c r="L657" s="79"/>
      <c r="M657" s="79"/>
      <c r="N657" s="79"/>
      <c r="O657" s="79"/>
      <c r="P657" s="79"/>
      <c r="Q657" s="79">
        <f t="shared" si="30"/>
        <v>3151.96</v>
      </c>
      <c r="R657" s="79">
        <f t="shared" si="31"/>
        <v>0</v>
      </c>
      <c r="S657" s="79">
        <f t="shared" si="32"/>
        <v>3151.96</v>
      </c>
    </row>
    <row r="658" spans="1:19" x14ac:dyDescent="0.2">
      <c r="A658" s="102" t="s">
        <v>5545</v>
      </c>
      <c r="B658" s="71" t="s">
        <v>5591</v>
      </c>
      <c r="C658" s="76">
        <v>428</v>
      </c>
      <c r="D658" s="72" t="s">
        <v>5645</v>
      </c>
      <c r="E658" s="73" t="s">
        <v>19</v>
      </c>
      <c r="F658" s="75">
        <v>42296</v>
      </c>
      <c r="G658" s="82">
        <f>87.3</f>
        <v>87.3</v>
      </c>
      <c r="H658" s="79"/>
      <c r="I658" s="79"/>
      <c r="J658" s="79"/>
      <c r="K658" s="79"/>
      <c r="L658" s="79"/>
      <c r="M658" s="79"/>
      <c r="N658" s="79"/>
      <c r="O658" s="79"/>
      <c r="P658" s="79"/>
      <c r="Q658" s="79">
        <f t="shared" si="30"/>
        <v>87.3</v>
      </c>
      <c r="R658" s="79">
        <f t="shared" si="31"/>
        <v>0</v>
      </c>
      <c r="S658" s="79">
        <f t="shared" si="32"/>
        <v>87.3</v>
      </c>
    </row>
    <row r="659" spans="1:19" x14ac:dyDescent="0.2">
      <c r="A659" s="102" t="s">
        <v>5545</v>
      </c>
      <c r="B659" s="71" t="s">
        <v>5591</v>
      </c>
      <c r="C659" s="76">
        <v>428</v>
      </c>
      <c r="D659" s="72" t="s">
        <v>5646</v>
      </c>
      <c r="E659" s="73" t="s">
        <v>19</v>
      </c>
      <c r="F659" s="75">
        <v>42296</v>
      </c>
      <c r="G659" s="82">
        <f>109</f>
        <v>109</v>
      </c>
      <c r="H659" s="79"/>
      <c r="I659" s="79"/>
      <c r="J659" s="79"/>
      <c r="K659" s="79"/>
      <c r="L659" s="79"/>
      <c r="M659" s="79"/>
      <c r="N659" s="79"/>
      <c r="O659" s="79"/>
      <c r="P659" s="79"/>
      <c r="Q659" s="79">
        <f t="shared" si="30"/>
        <v>109</v>
      </c>
      <c r="R659" s="79">
        <f t="shared" si="31"/>
        <v>0</v>
      </c>
      <c r="S659" s="79">
        <f t="shared" si="32"/>
        <v>109</v>
      </c>
    </row>
    <row r="660" spans="1:19" x14ac:dyDescent="0.2">
      <c r="A660" s="102" t="s">
        <v>5545</v>
      </c>
      <c r="B660" s="71" t="s">
        <v>5591</v>
      </c>
      <c r="C660" s="76">
        <v>428</v>
      </c>
      <c r="D660" s="72" t="s">
        <v>5647</v>
      </c>
      <c r="E660" s="73" t="s">
        <v>19</v>
      </c>
      <c r="F660" s="75">
        <v>42296</v>
      </c>
      <c r="G660" s="82">
        <f>98.6</f>
        <v>98.6</v>
      </c>
      <c r="H660" s="79"/>
      <c r="I660" s="79"/>
      <c r="J660" s="79"/>
      <c r="K660" s="79"/>
      <c r="L660" s="79"/>
      <c r="M660" s="79"/>
      <c r="N660" s="79"/>
      <c r="O660" s="79"/>
      <c r="P660" s="79"/>
      <c r="Q660" s="79">
        <f t="shared" si="30"/>
        <v>98.6</v>
      </c>
      <c r="R660" s="79">
        <f t="shared" si="31"/>
        <v>0</v>
      </c>
      <c r="S660" s="79">
        <f t="shared" si="32"/>
        <v>98.6</v>
      </c>
    </row>
    <row r="661" spans="1:19" x14ac:dyDescent="0.2">
      <c r="A661" s="102" t="s">
        <v>5545</v>
      </c>
      <c r="B661" s="71" t="s">
        <v>5591</v>
      </c>
      <c r="C661" s="76">
        <v>428</v>
      </c>
      <c r="D661" s="72" t="s">
        <v>5648</v>
      </c>
      <c r="E661" s="73" t="s">
        <v>19</v>
      </c>
      <c r="F661" s="75">
        <v>42296</v>
      </c>
      <c r="G661" s="82"/>
      <c r="H661" s="79"/>
      <c r="I661" s="79"/>
      <c r="J661" s="79"/>
      <c r="K661" s="79"/>
      <c r="L661" s="79"/>
      <c r="M661" s="79"/>
      <c r="N661" s="79"/>
      <c r="O661" s="79"/>
      <c r="P661" s="79"/>
      <c r="Q661" s="79">
        <f t="shared" si="30"/>
        <v>0</v>
      </c>
      <c r="R661" s="79">
        <f t="shared" si="31"/>
        <v>0</v>
      </c>
      <c r="S661" s="79">
        <f t="shared" si="32"/>
        <v>0</v>
      </c>
    </row>
    <row r="662" spans="1:19" x14ac:dyDescent="0.2">
      <c r="A662" s="102" t="s">
        <v>5545</v>
      </c>
      <c r="B662" s="71" t="s">
        <v>5591</v>
      </c>
      <c r="C662" s="76">
        <v>428</v>
      </c>
      <c r="D662" s="72" t="s">
        <v>5649</v>
      </c>
      <c r="E662" s="73" t="s">
        <v>19</v>
      </c>
      <c r="F662" s="75">
        <v>42296</v>
      </c>
      <c r="G662" s="82"/>
      <c r="H662" s="79"/>
      <c r="I662" s="79"/>
      <c r="J662" s="79"/>
      <c r="K662" s="79"/>
      <c r="L662" s="79"/>
      <c r="M662" s="79"/>
      <c r="N662" s="79"/>
      <c r="O662" s="79"/>
      <c r="P662" s="79"/>
      <c r="Q662" s="79">
        <f t="shared" si="30"/>
        <v>0</v>
      </c>
      <c r="R662" s="79">
        <f t="shared" si="31"/>
        <v>0</v>
      </c>
      <c r="S662" s="79">
        <f t="shared" si="32"/>
        <v>0</v>
      </c>
    </row>
    <row r="663" spans="1:19" x14ac:dyDescent="0.2">
      <c r="A663" s="102" t="s">
        <v>5545</v>
      </c>
      <c r="B663" s="71" t="s">
        <v>5591</v>
      </c>
      <c r="C663" s="76">
        <v>428</v>
      </c>
      <c r="D663" s="72" t="s">
        <v>5650</v>
      </c>
      <c r="E663" s="73" t="s">
        <v>19</v>
      </c>
      <c r="F663" s="75">
        <v>42296</v>
      </c>
      <c r="G663" s="82">
        <f>186.4</f>
        <v>186.4</v>
      </c>
      <c r="H663" s="79"/>
      <c r="I663" s="79"/>
      <c r="J663" s="79"/>
      <c r="K663" s="79"/>
      <c r="L663" s="79"/>
      <c r="M663" s="79"/>
      <c r="N663" s="79"/>
      <c r="O663" s="79"/>
      <c r="P663" s="79"/>
      <c r="Q663" s="79">
        <f t="shared" si="30"/>
        <v>186.4</v>
      </c>
      <c r="R663" s="79">
        <f t="shared" si="31"/>
        <v>0</v>
      </c>
      <c r="S663" s="79">
        <f t="shared" si="32"/>
        <v>186.4</v>
      </c>
    </row>
    <row r="664" spans="1:19" x14ac:dyDescent="0.2">
      <c r="A664" s="102" t="s">
        <v>5545</v>
      </c>
      <c r="B664" s="71" t="s">
        <v>5591</v>
      </c>
      <c r="C664" s="76">
        <v>428</v>
      </c>
      <c r="D664" s="72" t="s">
        <v>5651</v>
      </c>
      <c r="E664" s="73" t="s">
        <v>19</v>
      </c>
      <c r="F664" s="75">
        <v>42296</v>
      </c>
      <c r="G664" s="82">
        <f>133.2</f>
        <v>133.19999999999999</v>
      </c>
      <c r="H664" s="79"/>
      <c r="I664" s="79"/>
      <c r="J664" s="79"/>
      <c r="K664" s="79"/>
      <c r="L664" s="79"/>
      <c r="M664" s="79"/>
      <c r="N664" s="79"/>
      <c r="O664" s="79"/>
      <c r="P664" s="79"/>
      <c r="Q664" s="79">
        <f t="shared" si="30"/>
        <v>133.19999999999999</v>
      </c>
      <c r="R664" s="79">
        <f t="shared" si="31"/>
        <v>0</v>
      </c>
      <c r="S664" s="79">
        <f t="shared" si="32"/>
        <v>133.19999999999999</v>
      </c>
    </row>
    <row r="665" spans="1:19" x14ac:dyDescent="0.2">
      <c r="A665" s="102" t="s">
        <v>5545</v>
      </c>
      <c r="B665" s="71" t="s">
        <v>5591</v>
      </c>
      <c r="C665" s="76">
        <v>428</v>
      </c>
      <c r="D665" s="72" t="s">
        <v>5652</v>
      </c>
      <c r="E665" s="73" t="s">
        <v>19</v>
      </c>
      <c r="F665" s="75">
        <v>42296</v>
      </c>
      <c r="G665" s="82"/>
      <c r="H665" s="79"/>
      <c r="I665" s="79"/>
      <c r="J665" s="79"/>
      <c r="K665" s="79"/>
      <c r="L665" s="79"/>
      <c r="M665" s="79"/>
      <c r="N665" s="79"/>
      <c r="O665" s="79"/>
      <c r="P665" s="79"/>
      <c r="Q665" s="79">
        <f t="shared" si="30"/>
        <v>0</v>
      </c>
      <c r="R665" s="79">
        <f t="shared" si="31"/>
        <v>0</v>
      </c>
      <c r="S665" s="79">
        <f t="shared" si="32"/>
        <v>0</v>
      </c>
    </row>
    <row r="666" spans="1:19" x14ac:dyDescent="0.2">
      <c r="A666" s="102" t="s">
        <v>5546</v>
      </c>
      <c r="B666" s="71" t="s">
        <v>5592</v>
      </c>
      <c r="C666" s="76">
        <v>429</v>
      </c>
      <c r="D666" s="72" t="s">
        <v>5653</v>
      </c>
      <c r="E666" s="73" t="s">
        <v>19</v>
      </c>
      <c r="F666" s="75">
        <v>42296</v>
      </c>
      <c r="G666" s="82">
        <f>50.8</f>
        <v>50.8</v>
      </c>
      <c r="H666" s="79"/>
      <c r="I666" s="79"/>
      <c r="J666" s="79"/>
      <c r="K666" s="79"/>
      <c r="L666" s="79"/>
      <c r="M666" s="79"/>
      <c r="N666" s="79"/>
      <c r="O666" s="79"/>
      <c r="P666" s="79"/>
      <c r="Q666" s="79">
        <f t="shared" si="30"/>
        <v>50.8</v>
      </c>
      <c r="R666" s="79">
        <f t="shared" si="31"/>
        <v>0</v>
      </c>
      <c r="S666" s="79">
        <f t="shared" si="32"/>
        <v>50.8</v>
      </c>
    </row>
    <row r="667" spans="1:19" x14ac:dyDescent="0.2">
      <c r="A667" s="102" t="s">
        <v>5547</v>
      </c>
      <c r="B667" s="71" t="s">
        <v>5593</v>
      </c>
      <c r="C667" s="76">
        <v>430</v>
      </c>
      <c r="D667" s="72" t="s">
        <v>5654</v>
      </c>
      <c r="E667" s="73" t="s">
        <v>4064</v>
      </c>
      <c r="F667" s="75">
        <v>42296</v>
      </c>
      <c r="G667" s="82">
        <f>315.05</f>
        <v>315.05</v>
      </c>
      <c r="H667" s="79"/>
      <c r="I667" s="79"/>
      <c r="J667" s="79"/>
      <c r="K667" s="79"/>
      <c r="L667" s="79"/>
      <c r="M667" s="79"/>
      <c r="N667" s="79"/>
      <c r="O667" s="79"/>
      <c r="P667" s="79"/>
      <c r="Q667" s="79">
        <f t="shared" si="30"/>
        <v>315.05</v>
      </c>
      <c r="R667" s="79">
        <f t="shared" si="31"/>
        <v>0</v>
      </c>
      <c r="S667" s="79">
        <f t="shared" si="32"/>
        <v>315.05</v>
      </c>
    </row>
    <row r="668" spans="1:19" x14ac:dyDescent="0.2">
      <c r="A668" s="102" t="s">
        <v>5548</v>
      </c>
      <c r="B668" s="71" t="s">
        <v>5594</v>
      </c>
      <c r="C668" s="76">
        <v>431</v>
      </c>
      <c r="D668" s="72" t="s">
        <v>5655</v>
      </c>
      <c r="E668" s="73" t="s">
        <v>19</v>
      </c>
      <c r="F668" s="75">
        <v>42297</v>
      </c>
      <c r="G668" s="82">
        <f>172.16</f>
        <v>172.16</v>
      </c>
      <c r="H668" s="79"/>
      <c r="I668" s="79"/>
      <c r="J668" s="79"/>
      <c r="K668" s="79"/>
      <c r="L668" s="79"/>
      <c r="M668" s="79"/>
      <c r="N668" s="79"/>
      <c r="O668" s="79"/>
      <c r="P668" s="79"/>
      <c r="Q668" s="79">
        <f t="shared" si="30"/>
        <v>172.16</v>
      </c>
      <c r="R668" s="79">
        <f t="shared" si="31"/>
        <v>0</v>
      </c>
      <c r="S668" s="79">
        <f t="shared" si="32"/>
        <v>172.16</v>
      </c>
    </row>
    <row r="669" spans="1:19" x14ac:dyDescent="0.2">
      <c r="A669" s="102" t="s">
        <v>5549</v>
      </c>
      <c r="B669" s="71" t="s">
        <v>5595</v>
      </c>
      <c r="C669" s="76">
        <v>432</v>
      </c>
      <c r="D669" s="72" t="s">
        <v>5656</v>
      </c>
      <c r="E669" s="73" t="s">
        <v>19</v>
      </c>
      <c r="F669" s="75">
        <v>42297</v>
      </c>
      <c r="G669" s="82">
        <f>102.07</f>
        <v>102.07</v>
      </c>
      <c r="H669" s="79"/>
      <c r="I669" s="79"/>
      <c r="J669" s="79"/>
      <c r="K669" s="79"/>
      <c r="L669" s="79"/>
      <c r="M669" s="79"/>
      <c r="N669" s="79"/>
      <c r="O669" s="79"/>
      <c r="P669" s="79"/>
      <c r="Q669" s="79">
        <f t="shared" si="30"/>
        <v>102.07</v>
      </c>
      <c r="R669" s="79">
        <f t="shared" si="31"/>
        <v>0</v>
      </c>
      <c r="S669" s="79">
        <f t="shared" si="32"/>
        <v>102.07</v>
      </c>
    </row>
    <row r="670" spans="1:19" x14ac:dyDescent="0.2">
      <c r="A670" s="102" t="s">
        <v>5550</v>
      </c>
      <c r="B670" s="71" t="s">
        <v>5596</v>
      </c>
      <c r="C670" s="76">
        <v>433</v>
      </c>
      <c r="D670" s="72" t="s">
        <v>5657</v>
      </c>
      <c r="E670" s="73" t="s">
        <v>19</v>
      </c>
      <c r="F670" s="75">
        <v>42298</v>
      </c>
      <c r="G670" s="82">
        <f>74.34</f>
        <v>74.34</v>
      </c>
      <c r="H670" s="79"/>
      <c r="I670" s="79"/>
      <c r="J670" s="79"/>
      <c r="K670" s="79"/>
      <c r="L670" s="79"/>
      <c r="M670" s="79"/>
      <c r="N670" s="79"/>
      <c r="O670" s="79"/>
      <c r="P670" s="79"/>
      <c r="Q670" s="79">
        <f t="shared" si="30"/>
        <v>74.34</v>
      </c>
      <c r="R670" s="79">
        <f t="shared" si="31"/>
        <v>0</v>
      </c>
      <c r="S670" s="79">
        <f t="shared" si="32"/>
        <v>74.34</v>
      </c>
    </row>
    <row r="671" spans="1:19" x14ac:dyDescent="0.2">
      <c r="A671" s="102" t="s">
        <v>5551</v>
      </c>
      <c r="B671" s="71" t="s">
        <v>5597</v>
      </c>
      <c r="C671" s="76">
        <v>434</v>
      </c>
      <c r="D671" s="73" t="s">
        <v>5658</v>
      </c>
      <c r="E671" s="73" t="s">
        <v>19</v>
      </c>
      <c r="F671" s="75">
        <v>42299</v>
      </c>
      <c r="G671" s="82">
        <f>40</f>
        <v>40</v>
      </c>
      <c r="H671" s="79"/>
      <c r="I671" s="79"/>
      <c r="J671" s="79"/>
      <c r="K671" s="79"/>
      <c r="L671" s="79"/>
      <c r="M671" s="79"/>
      <c r="N671" s="79"/>
      <c r="O671" s="79"/>
      <c r="P671" s="79"/>
      <c r="Q671" s="79">
        <f t="shared" si="30"/>
        <v>40</v>
      </c>
      <c r="R671" s="79">
        <f t="shared" si="31"/>
        <v>0</v>
      </c>
      <c r="S671" s="79">
        <f t="shared" si="32"/>
        <v>40</v>
      </c>
    </row>
    <row r="672" spans="1:19" x14ac:dyDescent="0.2">
      <c r="A672" s="102" t="s">
        <v>5551</v>
      </c>
      <c r="B672" s="71" t="s">
        <v>5597</v>
      </c>
      <c r="C672" s="76">
        <v>434</v>
      </c>
      <c r="D672" s="73" t="s">
        <v>5659</v>
      </c>
      <c r="E672" s="73" t="s">
        <v>19</v>
      </c>
      <c r="F672" s="75">
        <v>42299</v>
      </c>
      <c r="G672" s="82">
        <f>40</f>
        <v>40</v>
      </c>
      <c r="H672" s="79"/>
      <c r="I672" s="79"/>
      <c r="J672" s="79"/>
      <c r="K672" s="79"/>
      <c r="L672" s="79"/>
      <c r="M672" s="79"/>
      <c r="N672" s="79"/>
      <c r="O672" s="79"/>
      <c r="P672" s="79"/>
      <c r="Q672" s="79">
        <f t="shared" si="30"/>
        <v>40</v>
      </c>
      <c r="R672" s="79">
        <f t="shared" si="31"/>
        <v>0</v>
      </c>
      <c r="S672" s="79">
        <f t="shared" si="32"/>
        <v>40</v>
      </c>
    </row>
    <row r="673" spans="1:19" x14ac:dyDescent="0.2">
      <c r="A673" s="102" t="s">
        <v>5552</v>
      </c>
      <c r="B673" s="71" t="s">
        <v>5598</v>
      </c>
      <c r="C673" s="76">
        <v>435</v>
      </c>
      <c r="D673" s="72" t="s">
        <v>5660</v>
      </c>
      <c r="E673" s="73" t="s">
        <v>19</v>
      </c>
      <c r="F673" s="75">
        <v>42300</v>
      </c>
      <c r="G673" s="82">
        <f>199.74+2074.5+70</f>
        <v>2344.2399999999998</v>
      </c>
      <c r="H673" s="79"/>
      <c r="I673" s="79">
        <f>775</f>
        <v>775</v>
      </c>
      <c r="J673" s="79"/>
      <c r="K673" s="79"/>
      <c r="L673" s="79"/>
      <c r="M673" s="79"/>
      <c r="N673" s="79"/>
      <c r="O673" s="79"/>
      <c r="P673" s="79"/>
      <c r="Q673" s="79">
        <f t="shared" si="30"/>
        <v>3119.24</v>
      </c>
      <c r="R673" s="79">
        <f t="shared" si="31"/>
        <v>0</v>
      </c>
      <c r="S673" s="79">
        <f t="shared" si="32"/>
        <v>3119.24</v>
      </c>
    </row>
    <row r="674" spans="1:19" x14ac:dyDescent="0.2">
      <c r="A674" s="102" t="s">
        <v>5553</v>
      </c>
      <c r="B674" s="71" t="s">
        <v>5599</v>
      </c>
      <c r="C674" s="76">
        <v>436</v>
      </c>
      <c r="D674" s="72" t="s">
        <v>5661</v>
      </c>
      <c r="E674" s="73" t="s">
        <v>19</v>
      </c>
      <c r="F674" s="75">
        <v>42301</v>
      </c>
      <c r="G674" s="82">
        <f>100.3</f>
        <v>100.3</v>
      </c>
      <c r="H674" s="79"/>
      <c r="I674" s="79"/>
      <c r="J674" s="79"/>
      <c r="K674" s="79"/>
      <c r="L674" s="79"/>
      <c r="M674" s="79"/>
      <c r="N674" s="79"/>
      <c r="O674" s="79"/>
      <c r="P674" s="79"/>
      <c r="Q674" s="79">
        <f t="shared" si="30"/>
        <v>100.3</v>
      </c>
      <c r="R674" s="79">
        <f t="shared" si="31"/>
        <v>0</v>
      </c>
      <c r="S674" s="79">
        <f t="shared" si="32"/>
        <v>100.3</v>
      </c>
    </row>
    <row r="675" spans="1:19" x14ac:dyDescent="0.2">
      <c r="A675" s="102" t="s">
        <v>5554</v>
      </c>
      <c r="B675" s="71" t="s">
        <v>5600</v>
      </c>
      <c r="C675" s="76">
        <v>437</v>
      </c>
      <c r="D675" s="72" t="s">
        <v>5662</v>
      </c>
      <c r="E675" s="73" t="s">
        <v>19</v>
      </c>
      <c r="F675" s="75">
        <v>42302</v>
      </c>
      <c r="G675" s="82">
        <f>49.3</f>
        <v>49.3</v>
      </c>
      <c r="H675" s="79"/>
      <c r="I675" s="79"/>
      <c r="J675" s="79"/>
      <c r="K675" s="79"/>
      <c r="L675" s="79"/>
      <c r="M675" s="79"/>
      <c r="N675" s="79"/>
      <c r="O675" s="79"/>
      <c r="P675" s="79"/>
      <c r="Q675" s="79">
        <f t="shared" si="30"/>
        <v>49.3</v>
      </c>
      <c r="R675" s="79">
        <f t="shared" si="31"/>
        <v>0</v>
      </c>
      <c r="S675" s="79">
        <f t="shared" si="32"/>
        <v>49.3</v>
      </c>
    </row>
    <row r="676" spans="1:19" x14ac:dyDescent="0.2">
      <c r="A676" s="102" t="s">
        <v>5555</v>
      </c>
      <c r="B676" s="71" t="s">
        <v>5601</v>
      </c>
      <c r="C676" s="76">
        <v>438</v>
      </c>
      <c r="D676" s="72" t="s">
        <v>5663</v>
      </c>
      <c r="E676" s="73" t="s">
        <v>19</v>
      </c>
      <c r="F676" s="75">
        <v>42304</v>
      </c>
      <c r="G676" s="82">
        <f>53.1</f>
        <v>53.1</v>
      </c>
      <c r="H676" s="79"/>
      <c r="I676" s="79"/>
      <c r="J676" s="79"/>
      <c r="K676" s="79"/>
      <c r="L676" s="79"/>
      <c r="M676" s="79"/>
      <c r="N676" s="79"/>
      <c r="O676" s="79"/>
      <c r="P676" s="79"/>
      <c r="Q676" s="79">
        <f t="shared" si="30"/>
        <v>53.1</v>
      </c>
      <c r="R676" s="79">
        <f t="shared" si="31"/>
        <v>0</v>
      </c>
      <c r="S676" s="79">
        <f t="shared" si="32"/>
        <v>53.1</v>
      </c>
    </row>
    <row r="677" spans="1:19" x14ac:dyDescent="0.2">
      <c r="A677" s="102" t="s">
        <v>5556</v>
      </c>
      <c r="B677" s="71" t="s">
        <v>5602</v>
      </c>
      <c r="C677" s="76">
        <v>439</v>
      </c>
      <c r="D677" s="72" t="s">
        <v>5664</v>
      </c>
      <c r="E677" s="73" t="s">
        <v>19</v>
      </c>
      <c r="F677" s="75">
        <v>42304</v>
      </c>
      <c r="G677" s="82">
        <f>240+115.74+354.3+221.43</f>
        <v>931.47</v>
      </c>
      <c r="H677" s="79"/>
      <c r="I677" s="79"/>
      <c r="J677" s="79"/>
      <c r="K677" s="79"/>
      <c r="L677" s="79"/>
      <c r="M677" s="79"/>
      <c r="N677" s="79"/>
      <c r="O677" s="79"/>
      <c r="P677" s="79"/>
      <c r="Q677" s="79">
        <f t="shared" si="30"/>
        <v>931.47</v>
      </c>
      <c r="R677" s="79">
        <f t="shared" si="31"/>
        <v>0</v>
      </c>
      <c r="S677" s="79">
        <f t="shared" si="32"/>
        <v>931.47</v>
      </c>
    </row>
    <row r="678" spans="1:19" x14ac:dyDescent="0.2">
      <c r="A678" s="102" t="s">
        <v>5557</v>
      </c>
      <c r="B678" s="71" t="s">
        <v>5603</v>
      </c>
      <c r="C678" s="76">
        <v>440</v>
      </c>
      <c r="D678" s="72" t="s">
        <v>5665</v>
      </c>
      <c r="E678" s="73" t="s">
        <v>19</v>
      </c>
      <c r="F678" s="75">
        <v>42305</v>
      </c>
      <c r="G678" s="82">
        <f>203.8</f>
        <v>203.8</v>
      </c>
      <c r="H678" s="79"/>
      <c r="I678" s="79"/>
      <c r="J678" s="79"/>
      <c r="K678" s="79"/>
      <c r="L678" s="79"/>
      <c r="M678" s="79"/>
      <c r="N678" s="79"/>
      <c r="O678" s="79"/>
      <c r="P678" s="79"/>
      <c r="Q678" s="79">
        <f t="shared" si="30"/>
        <v>203.8</v>
      </c>
      <c r="R678" s="79">
        <f t="shared" si="31"/>
        <v>0</v>
      </c>
      <c r="S678" s="79">
        <f t="shared" si="32"/>
        <v>203.8</v>
      </c>
    </row>
    <row r="679" spans="1:19" x14ac:dyDescent="0.2">
      <c r="A679" s="102" t="s">
        <v>5558</v>
      </c>
      <c r="B679" s="71" t="s">
        <v>5604</v>
      </c>
      <c r="C679" s="76">
        <v>441</v>
      </c>
      <c r="D679" s="72" t="s">
        <v>5666</v>
      </c>
      <c r="E679" s="73" t="s">
        <v>19</v>
      </c>
      <c r="F679" s="75">
        <v>42305</v>
      </c>
      <c r="G679" s="82">
        <f>107.3</f>
        <v>107.3</v>
      </c>
      <c r="H679" s="79"/>
      <c r="I679" s="79"/>
      <c r="J679" s="79"/>
      <c r="K679" s="79"/>
      <c r="L679" s="79"/>
      <c r="M679" s="79"/>
      <c r="N679" s="79"/>
      <c r="O679" s="79"/>
      <c r="P679" s="79"/>
      <c r="Q679" s="79">
        <f t="shared" si="30"/>
        <v>107.3</v>
      </c>
      <c r="R679" s="79">
        <f t="shared" si="31"/>
        <v>0</v>
      </c>
      <c r="S679" s="79">
        <f t="shared" si="32"/>
        <v>107.3</v>
      </c>
    </row>
    <row r="680" spans="1:19" x14ac:dyDescent="0.2">
      <c r="A680" s="102" t="s">
        <v>5558</v>
      </c>
      <c r="B680" s="71" t="s">
        <v>5604</v>
      </c>
      <c r="C680" s="76">
        <v>441</v>
      </c>
      <c r="D680" s="72" t="s">
        <v>5667</v>
      </c>
      <c r="E680" s="73" t="s">
        <v>19</v>
      </c>
      <c r="F680" s="75">
        <v>42305</v>
      </c>
      <c r="G680" s="82">
        <f>119.97+83.6+114.65</f>
        <v>318.22000000000003</v>
      </c>
      <c r="H680" s="79"/>
      <c r="I680" s="79"/>
      <c r="J680" s="79"/>
      <c r="K680" s="79"/>
      <c r="L680" s="79"/>
      <c r="M680" s="79"/>
      <c r="N680" s="79"/>
      <c r="O680" s="79"/>
      <c r="P680" s="79"/>
      <c r="Q680" s="79">
        <f t="shared" si="30"/>
        <v>318.22000000000003</v>
      </c>
      <c r="R680" s="79">
        <f t="shared" si="31"/>
        <v>0</v>
      </c>
      <c r="S680" s="79">
        <f t="shared" si="32"/>
        <v>318.22000000000003</v>
      </c>
    </row>
    <row r="681" spans="1:19" x14ac:dyDescent="0.2">
      <c r="A681" s="102" t="s">
        <v>5558</v>
      </c>
      <c r="B681" s="71" t="s">
        <v>5604</v>
      </c>
      <c r="C681" s="76">
        <v>441</v>
      </c>
      <c r="D681" s="72" t="s">
        <v>5668</v>
      </c>
      <c r="E681" s="73" t="s">
        <v>19</v>
      </c>
      <c r="F681" s="75">
        <v>42305</v>
      </c>
      <c r="G681" s="82">
        <f>170.6+41.3+134.81</f>
        <v>346.71</v>
      </c>
      <c r="H681" s="79"/>
      <c r="I681" s="79"/>
      <c r="J681" s="79"/>
      <c r="K681" s="79"/>
      <c r="L681" s="79"/>
      <c r="M681" s="79"/>
      <c r="N681" s="79"/>
      <c r="O681" s="79"/>
      <c r="P681" s="79"/>
      <c r="Q681" s="79">
        <f t="shared" si="30"/>
        <v>346.71</v>
      </c>
      <c r="R681" s="79">
        <f t="shared" si="31"/>
        <v>0</v>
      </c>
      <c r="S681" s="79">
        <f t="shared" si="32"/>
        <v>346.71</v>
      </c>
    </row>
    <row r="682" spans="1:19" x14ac:dyDescent="0.2">
      <c r="A682" s="102"/>
      <c r="B682" s="71"/>
      <c r="C682" s="104">
        <v>442</v>
      </c>
      <c r="D682" s="72" t="s">
        <v>4784</v>
      </c>
      <c r="E682" s="73"/>
      <c r="F682" s="75"/>
      <c r="G682" s="82"/>
      <c r="H682" s="79"/>
      <c r="I682" s="79"/>
      <c r="J682" s="79"/>
      <c r="K682" s="79"/>
      <c r="L682" s="79"/>
      <c r="M682" s="79"/>
      <c r="N682" s="79"/>
      <c r="O682" s="79"/>
      <c r="P682" s="79"/>
      <c r="Q682" s="79">
        <f t="shared" si="30"/>
        <v>0</v>
      </c>
      <c r="R682" s="79">
        <f t="shared" si="31"/>
        <v>0</v>
      </c>
      <c r="S682" s="79">
        <f t="shared" si="32"/>
        <v>0</v>
      </c>
    </row>
    <row r="683" spans="1:19" x14ac:dyDescent="0.2">
      <c r="A683" s="102" t="s">
        <v>5559</v>
      </c>
      <c r="B683" s="71" t="s">
        <v>5605</v>
      </c>
      <c r="C683" s="76">
        <v>443</v>
      </c>
      <c r="D683" s="72" t="s">
        <v>5669</v>
      </c>
      <c r="E683" s="73" t="s">
        <v>19</v>
      </c>
      <c r="F683" s="75">
        <v>42307</v>
      </c>
      <c r="G683" s="82">
        <f>68.44+116.77</f>
        <v>185.20999999999998</v>
      </c>
      <c r="H683" s="79"/>
      <c r="I683" s="79"/>
      <c r="J683" s="79"/>
      <c r="K683" s="79"/>
      <c r="L683" s="79"/>
      <c r="M683" s="79"/>
      <c r="N683" s="79"/>
      <c r="O683" s="79"/>
      <c r="P683" s="79"/>
      <c r="Q683" s="79">
        <f t="shared" si="30"/>
        <v>185.20999999999998</v>
      </c>
      <c r="R683" s="79">
        <f t="shared" si="31"/>
        <v>0</v>
      </c>
      <c r="S683" s="79">
        <f t="shared" si="32"/>
        <v>185.20999999999998</v>
      </c>
    </row>
    <row r="684" spans="1:19" x14ac:dyDescent="0.2">
      <c r="A684" s="102" t="s">
        <v>5560</v>
      </c>
      <c r="B684" s="71" t="s">
        <v>5606</v>
      </c>
      <c r="C684" s="76">
        <v>444</v>
      </c>
      <c r="D684" s="72" t="s">
        <v>5670</v>
      </c>
      <c r="E684" s="73" t="s">
        <v>19</v>
      </c>
      <c r="F684" s="75">
        <v>42306</v>
      </c>
      <c r="G684" s="82">
        <v>72.599999999999994</v>
      </c>
      <c r="H684" s="79"/>
      <c r="I684" s="79"/>
      <c r="J684" s="79"/>
      <c r="K684" s="79"/>
      <c r="L684" s="79"/>
      <c r="M684" s="79"/>
      <c r="N684" s="79"/>
      <c r="O684" s="79"/>
      <c r="P684" s="79"/>
      <c r="Q684" s="79">
        <f t="shared" si="30"/>
        <v>72.599999999999994</v>
      </c>
      <c r="R684" s="79">
        <f t="shared" si="31"/>
        <v>0</v>
      </c>
      <c r="S684" s="79">
        <f t="shared" si="32"/>
        <v>72.599999999999994</v>
      </c>
    </row>
    <row r="685" spans="1:19" x14ac:dyDescent="0.2">
      <c r="A685" s="102" t="s">
        <v>5560</v>
      </c>
      <c r="B685" s="71" t="s">
        <v>5606</v>
      </c>
      <c r="C685" s="76">
        <v>444</v>
      </c>
      <c r="D685" s="72" t="s">
        <v>5671</v>
      </c>
      <c r="E685" s="73" t="s">
        <v>19</v>
      </c>
      <c r="F685" s="75">
        <v>42306</v>
      </c>
      <c r="G685" s="82">
        <v>78.599999999999994</v>
      </c>
      <c r="H685" s="79"/>
      <c r="I685" s="79"/>
      <c r="J685" s="79"/>
      <c r="K685" s="79"/>
      <c r="L685" s="79"/>
      <c r="M685" s="79"/>
      <c r="N685" s="79"/>
      <c r="O685" s="79"/>
      <c r="P685" s="79"/>
      <c r="Q685" s="79">
        <f t="shared" si="30"/>
        <v>78.599999999999994</v>
      </c>
      <c r="R685" s="79">
        <f t="shared" si="31"/>
        <v>0</v>
      </c>
      <c r="S685" s="79">
        <f t="shared" si="32"/>
        <v>78.599999999999994</v>
      </c>
    </row>
    <row r="686" spans="1:19" x14ac:dyDescent="0.2">
      <c r="A686" s="102" t="s">
        <v>5561</v>
      </c>
      <c r="B686" s="71" t="s">
        <v>5607</v>
      </c>
      <c r="C686" s="76">
        <v>445</v>
      </c>
      <c r="D686" s="72" t="s">
        <v>5672</v>
      </c>
      <c r="E686" s="73" t="s">
        <v>19</v>
      </c>
      <c r="F686" s="75">
        <v>42307</v>
      </c>
      <c r="G686" s="82">
        <f>228.05+98.24</f>
        <v>326.29000000000002</v>
      </c>
      <c r="H686" s="79"/>
      <c r="I686" s="79"/>
      <c r="J686" s="79"/>
      <c r="K686" s="79"/>
      <c r="L686" s="79"/>
      <c r="M686" s="79"/>
      <c r="N686" s="79"/>
      <c r="O686" s="79"/>
      <c r="P686" s="79"/>
      <c r="Q686" s="79">
        <f t="shared" si="30"/>
        <v>326.29000000000002</v>
      </c>
      <c r="R686" s="79">
        <f t="shared" si="31"/>
        <v>0</v>
      </c>
      <c r="S686" s="79">
        <f t="shared" si="32"/>
        <v>326.29000000000002</v>
      </c>
    </row>
    <row r="687" spans="1:19" x14ac:dyDescent="0.2">
      <c r="A687" s="102" t="s">
        <v>5561</v>
      </c>
      <c r="B687" s="71" t="s">
        <v>5607</v>
      </c>
      <c r="C687" s="76">
        <v>445</v>
      </c>
      <c r="D687" s="72" t="s">
        <v>5673</v>
      </c>
      <c r="E687" s="73" t="s">
        <v>19</v>
      </c>
      <c r="F687" s="75">
        <v>42307</v>
      </c>
      <c r="G687" s="82">
        <f>112.1</f>
        <v>112.1</v>
      </c>
      <c r="H687" s="79"/>
      <c r="I687" s="79"/>
      <c r="J687" s="79"/>
      <c r="K687" s="79"/>
      <c r="L687" s="79"/>
      <c r="M687" s="79"/>
      <c r="N687" s="79"/>
      <c r="O687" s="79"/>
      <c r="P687" s="79"/>
      <c r="Q687" s="79">
        <f t="shared" si="30"/>
        <v>112.1</v>
      </c>
      <c r="R687" s="79">
        <f t="shared" si="31"/>
        <v>0</v>
      </c>
      <c r="S687" s="79">
        <f t="shared" si="32"/>
        <v>112.1</v>
      </c>
    </row>
    <row r="688" spans="1:19" x14ac:dyDescent="0.2">
      <c r="A688" s="102" t="s">
        <v>5561</v>
      </c>
      <c r="B688" s="71" t="s">
        <v>5607</v>
      </c>
      <c r="C688" s="76">
        <v>445</v>
      </c>
      <c r="D688" s="72" t="s">
        <v>5674</v>
      </c>
      <c r="E688" s="73" t="s">
        <v>19</v>
      </c>
      <c r="F688" s="75">
        <v>42307</v>
      </c>
      <c r="G688" s="82">
        <f>210.57</f>
        <v>210.57</v>
      </c>
      <c r="H688" s="79"/>
      <c r="I688" s="79"/>
      <c r="J688" s="79"/>
      <c r="K688" s="79"/>
      <c r="L688" s="79"/>
      <c r="M688" s="79"/>
      <c r="N688" s="79"/>
      <c r="O688" s="79"/>
      <c r="P688" s="79"/>
      <c r="Q688" s="79">
        <f t="shared" si="30"/>
        <v>210.57</v>
      </c>
      <c r="R688" s="79">
        <f t="shared" si="31"/>
        <v>0</v>
      </c>
      <c r="S688" s="79">
        <f t="shared" si="32"/>
        <v>210.57</v>
      </c>
    </row>
    <row r="689" spans="1:19" x14ac:dyDescent="0.2">
      <c r="A689" s="102" t="s">
        <v>5561</v>
      </c>
      <c r="B689" s="71" t="s">
        <v>5607</v>
      </c>
      <c r="C689" s="76">
        <v>445</v>
      </c>
      <c r="D689" s="72" t="s">
        <v>5675</v>
      </c>
      <c r="E689" s="73" t="s">
        <v>19</v>
      </c>
      <c r="F689" s="75">
        <v>42307</v>
      </c>
      <c r="G689" s="82">
        <f>71.05+135.58+135.7</f>
        <v>342.33</v>
      </c>
      <c r="H689" s="79"/>
      <c r="I689" s="79"/>
      <c r="J689" s="79"/>
      <c r="K689" s="79"/>
      <c r="L689" s="79"/>
      <c r="M689" s="79"/>
      <c r="N689" s="79"/>
      <c r="O689" s="79"/>
      <c r="P689" s="79"/>
      <c r="Q689" s="79">
        <f t="shared" si="30"/>
        <v>342.33</v>
      </c>
      <c r="R689" s="79">
        <f t="shared" si="31"/>
        <v>0</v>
      </c>
      <c r="S689" s="79">
        <f t="shared" si="32"/>
        <v>342.33</v>
      </c>
    </row>
    <row r="690" spans="1:19" x14ac:dyDescent="0.2">
      <c r="A690" s="102" t="s">
        <v>5561</v>
      </c>
      <c r="B690" s="71" t="s">
        <v>5607</v>
      </c>
      <c r="C690" s="76">
        <v>445</v>
      </c>
      <c r="D690" s="72" t="s">
        <v>5676</v>
      </c>
      <c r="E690" s="73" t="s">
        <v>19</v>
      </c>
      <c r="F690" s="75">
        <v>42307</v>
      </c>
      <c r="G690" s="82">
        <f>88.5</f>
        <v>88.5</v>
      </c>
      <c r="H690" s="79"/>
      <c r="I690" s="79"/>
      <c r="J690" s="79"/>
      <c r="K690" s="79"/>
      <c r="L690" s="79"/>
      <c r="M690" s="79"/>
      <c r="N690" s="79"/>
      <c r="O690" s="79"/>
      <c r="P690" s="79"/>
      <c r="Q690" s="79">
        <f t="shared" si="30"/>
        <v>88.5</v>
      </c>
      <c r="R690" s="79">
        <f t="shared" si="31"/>
        <v>0</v>
      </c>
      <c r="S690" s="79">
        <f t="shared" si="32"/>
        <v>88.5</v>
      </c>
    </row>
    <row r="691" spans="1:19" x14ac:dyDescent="0.2">
      <c r="A691" s="102" t="s">
        <v>5561</v>
      </c>
      <c r="B691" s="71" t="s">
        <v>5607</v>
      </c>
      <c r="C691" s="76">
        <v>445</v>
      </c>
      <c r="D691" s="72" t="s">
        <v>5677</v>
      </c>
      <c r="E691" s="73" t="s">
        <v>19</v>
      </c>
      <c r="F691" s="75">
        <v>42307</v>
      </c>
      <c r="G691" s="82">
        <f>240+453.06+53.1+414.95+75+79.01+631.359+240</f>
        <v>2186.4789999999998</v>
      </c>
      <c r="H691" s="79"/>
      <c r="I691" s="79">
        <f>2250</f>
        <v>2250</v>
      </c>
      <c r="J691" s="79"/>
      <c r="K691" s="79"/>
      <c r="L691" s="79"/>
      <c r="M691" s="79"/>
      <c r="N691" s="79"/>
      <c r="O691" s="79"/>
      <c r="P691" s="79"/>
      <c r="Q691" s="79">
        <f t="shared" si="30"/>
        <v>4436.4789999999994</v>
      </c>
      <c r="R691" s="79">
        <f t="shared" si="31"/>
        <v>0</v>
      </c>
      <c r="S691" s="79">
        <f t="shared" si="32"/>
        <v>4436.4789999999994</v>
      </c>
    </row>
    <row r="692" spans="1:19" x14ac:dyDescent="0.2">
      <c r="A692" s="102" t="s">
        <v>5561</v>
      </c>
      <c r="B692" s="71" t="s">
        <v>5607</v>
      </c>
      <c r="C692" s="76">
        <v>445</v>
      </c>
      <c r="D692" s="72" t="s">
        <v>5678</v>
      </c>
      <c r="E692" s="73" t="s">
        <v>19</v>
      </c>
      <c r="F692" s="75">
        <v>42307</v>
      </c>
      <c r="G692" s="82">
        <f>89.56+59+59</f>
        <v>207.56</v>
      </c>
      <c r="H692" s="79"/>
      <c r="I692" s="79"/>
      <c r="J692" s="79"/>
      <c r="K692" s="79"/>
      <c r="L692" s="79"/>
      <c r="M692" s="79"/>
      <c r="N692" s="79"/>
      <c r="O692" s="79"/>
      <c r="P692" s="79"/>
      <c r="Q692" s="79">
        <f t="shared" si="30"/>
        <v>207.56</v>
      </c>
      <c r="R692" s="79">
        <f t="shared" si="31"/>
        <v>0</v>
      </c>
      <c r="S692" s="79">
        <f t="shared" si="32"/>
        <v>207.56</v>
      </c>
    </row>
    <row r="693" spans="1:19" x14ac:dyDescent="0.2">
      <c r="A693" s="102" t="s">
        <v>5562</v>
      </c>
      <c r="B693" s="71" t="s">
        <v>5608</v>
      </c>
      <c r="C693" s="76">
        <v>446</v>
      </c>
      <c r="D693" s="73" t="s">
        <v>5679</v>
      </c>
      <c r="E693" s="73" t="s">
        <v>19</v>
      </c>
      <c r="F693" s="75">
        <v>42308</v>
      </c>
      <c r="G693" s="82">
        <f>70</f>
        <v>70</v>
      </c>
      <c r="H693" s="79"/>
      <c r="I693" s="79"/>
      <c r="J693" s="79"/>
      <c r="K693" s="79"/>
      <c r="L693" s="79"/>
      <c r="M693" s="79"/>
      <c r="N693" s="79"/>
      <c r="O693" s="79"/>
      <c r="P693" s="79"/>
      <c r="Q693" s="79">
        <f t="shared" si="30"/>
        <v>70</v>
      </c>
      <c r="R693" s="79">
        <f t="shared" si="31"/>
        <v>0</v>
      </c>
      <c r="S693" s="79">
        <f t="shared" si="32"/>
        <v>70</v>
      </c>
    </row>
    <row r="694" spans="1:19" x14ac:dyDescent="0.2">
      <c r="A694" s="102" t="s">
        <v>5563</v>
      </c>
      <c r="B694" s="71" t="s">
        <v>5609</v>
      </c>
      <c r="C694" s="76">
        <v>447</v>
      </c>
      <c r="D694" s="73" t="s">
        <v>5680</v>
      </c>
      <c r="E694" s="73" t="s">
        <v>19</v>
      </c>
      <c r="F694" s="75">
        <v>42309</v>
      </c>
      <c r="G694" s="82">
        <f>538</f>
        <v>538</v>
      </c>
      <c r="H694" s="79"/>
      <c r="I694" s="79"/>
      <c r="J694" s="79"/>
      <c r="K694" s="79"/>
      <c r="L694" s="79"/>
      <c r="M694" s="79"/>
      <c r="N694" s="79"/>
      <c r="O694" s="79"/>
      <c r="P694" s="79"/>
      <c r="Q694" s="79">
        <f t="shared" si="30"/>
        <v>538</v>
      </c>
      <c r="R694" s="79">
        <f t="shared" si="31"/>
        <v>0</v>
      </c>
      <c r="S694" s="79">
        <f t="shared" si="32"/>
        <v>538</v>
      </c>
    </row>
    <row r="695" spans="1:19" x14ac:dyDescent="0.2">
      <c r="A695" s="102" t="s">
        <v>5564</v>
      </c>
      <c r="B695" s="71" t="s">
        <v>5610</v>
      </c>
      <c r="C695" s="76">
        <v>448</v>
      </c>
      <c r="D695" s="72" t="s">
        <v>5681</v>
      </c>
      <c r="E695" s="73" t="s">
        <v>19</v>
      </c>
      <c r="F695" s="75">
        <v>42309</v>
      </c>
      <c r="G695" s="82">
        <f>42</f>
        <v>42</v>
      </c>
      <c r="H695" s="79"/>
      <c r="I695" s="79"/>
      <c r="J695" s="79"/>
      <c r="K695" s="79"/>
      <c r="L695" s="79"/>
      <c r="M695" s="79"/>
      <c r="N695" s="79"/>
      <c r="O695" s="79"/>
      <c r="P695" s="79"/>
      <c r="Q695" s="79">
        <f t="shared" si="30"/>
        <v>42</v>
      </c>
      <c r="R695" s="79">
        <f t="shared" si="31"/>
        <v>0</v>
      </c>
      <c r="S695" s="79">
        <f t="shared" si="32"/>
        <v>42</v>
      </c>
    </row>
    <row r="696" spans="1:19" x14ac:dyDescent="0.2">
      <c r="A696" s="102" t="s">
        <v>5564</v>
      </c>
      <c r="B696" s="71" t="s">
        <v>5610</v>
      </c>
      <c r="C696" s="76">
        <v>448</v>
      </c>
      <c r="D696" s="72" t="s">
        <v>5682</v>
      </c>
      <c r="E696" s="73" t="s">
        <v>19</v>
      </c>
      <c r="F696" s="75">
        <v>42309</v>
      </c>
      <c r="G696" s="82">
        <f>50</f>
        <v>50</v>
      </c>
      <c r="H696" s="79"/>
      <c r="I696" s="79"/>
      <c r="J696" s="79"/>
      <c r="K696" s="79"/>
      <c r="L696" s="79"/>
      <c r="M696" s="79"/>
      <c r="N696" s="79"/>
      <c r="O696" s="79"/>
      <c r="P696" s="79"/>
      <c r="Q696" s="79">
        <f t="shared" si="30"/>
        <v>50</v>
      </c>
      <c r="R696" s="79">
        <f t="shared" si="31"/>
        <v>0</v>
      </c>
      <c r="S696" s="79">
        <f t="shared" si="32"/>
        <v>50</v>
      </c>
    </row>
    <row r="697" spans="1:19" x14ac:dyDescent="0.2">
      <c r="A697" s="102" t="s">
        <v>5564</v>
      </c>
      <c r="B697" s="71" t="s">
        <v>5610</v>
      </c>
      <c r="C697" s="76">
        <v>448</v>
      </c>
      <c r="D697" s="72" t="s">
        <v>5683</v>
      </c>
      <c r="E697" s="73" t="s">
        <v>19</v>
      </c>
      <c r="F697" s="75">
        <v>42309</v>
      </c>
      <c r="G697" s="82">
        <f>157.6+238</f>
        <v>395.6</v>
      </c>
      <c r="H697" s="79"/>
      <c r="I697" s="79"/>
      <c r="J697" s="79"/>
      <c r="K697" s="79"/>
      <c r="L697" s="79"/>
      <c r="M697" s="79"/>
      <c r="N697" s="79"/>
      <c r="O697" s="79"/>
      <c r="P697" s="79"/>
      <c r="Q697" s="79">
        <f t="shared" si="30"/>
        <v>395.6</v>
      </c>
      <c r="R697" s="79">
        <f t="shared" si="31"/>
        <v>0</v>
      </c>
      <c r="S697" s="79">
        <f t="shared" si="32"/>
        <v>395.6</v>
      </c>
    </row>
    <row r="698" spans="1:19" x14ac:dyDescent="0.2">
      <c r="A698" s="102" t="s">
        <v>5564</v>
      </c>
      <c r="B698" s="71" t="s">
        <v>5610</v>
      </c>
      <c r="C698" s="76">
        <v>448</v>
      </c>
      <c r="D698" s="72" t="s">
        <v>5684</v>
      </c>
      <c r="E698" s="73" t="s">
        <v>19</v>
      </c>
      <c r="F698" s="75">
        <v>42309</v>
      </c>
      <c r="G698" s="82">
        <f>48</f>
        <v>48</v>
      </c>
      <c r="H698" s="79"/>
      <c r="I698" s="79"/>
      <c r="J698" s="79"/>
      <c r="K698" s="79"/>
      <c r="L698" s="79"/>
      <c r="M698" s="79"/>
      <c r="N698" s="79"/>
      <c r="O698" s="79"/>
      <c r="P698" s="79"/>
      <c r="Q698" s="79">
        <f t="shared" si="30"/>
        <v>48</v>
      </c>
      <c r="R698" s="79">
        <f t="shared" si="31"/>
        <v>0</v>
      </c>
      <c r="S698" s="79">
        <f t="shared" si="32"/>
        <v>48</v>
      </c>
    </row>
    <row r="699" spans="1:19" x14ac:dyDescent="0.2">
      <c r="A699" s="102" t="s">
        <v>5564</v>
      </c>
      <c r="B699" s="71" t="s">
        <v>5610</v>
      </c>
      <c r="C699" s="76">
        <v>448</v>
      </c>
      <c r="D699" s="72" t="s">
        <v>5685</v>
      </c>
      <c r="E699" s="73" t="s">
        <v>19</v>
      </c>
      <c r="F699" s="75">
        <v>42309</v>
      </c>
      <c r="G699" s="82">
        <f>200.6</f>
        <v>200.6</v>
      </c>
      <c r="H699" s="79"/>
      <c r="I699" s="79"/>
      <c r="J699" s="79"/>
      <c r="K699" s="79"/>
      <c r="L699" s="79"/>
      <c r="M699" s="79"/>
      <c r="N699" s="79"/>
      <c r="O699" s="79"/>
      <c r="P699" s="79"/>
      <c r="Q699" s="79">
        <f t="shared" si="30"/>
        <v>200.6</v>
      </c>
      <c r="R699" s="79">
        <f t="shared" si="31"/>
        <v>0</v>
      </c>
      <c r="S699" s="79">
        <f t="shared" si="32"/>
        <v>200.6</v>
      </c>
    </row>
    <row r="700" spans="1:19" x14ac:dyDescent="0.2">
      <c r="A700" s="102" t="s">
        <v>5564</v>
      </c>
      <c r="B700" s="71" t="s">
        <v>5610</v>
      </c>
      <c r="C700" s="76">
        <v>448</v>
      </c>
      <c r="D700" s="72" t="s">
        <v>5686</v>
      </c>
      <c r="E700" s="73" t="s">
        <v>19</v>
      </c>
      <c r="F700" s="75">
        <v>42309</v>
      </c>
      <c r="G700" s="82">
        <f>40</f>
        <v>40</v>
      </c>
      <c r="H700" s="79"/>
      <c r="I700" s="79"/>
      <c r="J700" s="79"/>
      <c r="K700" s="79"/>
      <c r="L700" s="79"/>
      <c r="M700" s="79"/>
      <c r="N700" s="79"/>
      <c r="O700" s="79"/>
      <c r="P700" s="79"/>
      <c r="Q700" s="79">
        <f t="shared" si="30"/>
        <v>40</v>
      </c>
      <c r="R700" s="79">
        <f t="shared" si="31"/>
        <v>0</v>
      </c>
      <c r="S700" s="79">
        <f t="shared" si="32"/>
        <v>40</v>
      </c>
    </row>
    <row r="701" spans="1:19" x14ac:dyDescent="0.2">
      <c r="A701" s="102" t="s">
        <v>5564</v>
      </c>
      <c r="B701" s="71" t="s">
        <v>5610</v>
      </c>
      <c r="C701" s="76">
        <v>448</v>
      </c>
      <c r="D701" s="72" t="s">
        <v>5687</v>
      </c>
      <c r="E701" s="73" t="s">
        <v>19</v>
      </c>
      <c r="F701" s="75">
        <v>42309</v>
      </c>
      <c r="G701" s="82">
        <f>48.9</f>
        <v>48.9</v>
      </c>
      <c r="H701" s="79"/>
      <c r="I701" s="79"/>
      <c r="J701" s="79"/>
      <c r="K701" s="79"/>
      <c r="L701" s="79"/>
      <c r="M701" s="79"/>
      <c r="N701" s="79"/>
      <c r="O701" s="79"/>
      <c r="P701" s="79"/>
      <c r="Q701" s="79">
        <f t="shared" si="30"/>
        <v>48.9</v>
      </c>
      <c r="R701" s="79">
        <f t="shared" si="31"/>
        <v>0</v>
      </c>
      <c r="S701" s="79">
        <f t="shared" si="32"/>
        <v>48.9</v>
      </c>
    </row>
    <row r="702" spans="1:19" x14ac:dyDescent="0.2">
      <c r="A702" s="102" t="s">
        <v>5564</v>
      </c>
      <c r="B702" s="71" t="s">
        <v>5610</v>
      </c>
      <c r="C702" s="76">
        <v>448</v>
      </c>
      <c r="D702" s="72" t="s">
        <v>5688</v>
      </c>
      <c r="E702" s="73" t="s">
        <v>19</v>
      </c>
      <c r="F702" s="75">
        <v>42309</v>
      </c>
      <c r="G702" s="82"/>
      <c r="H702" s="79"/>
      <c r="I702" s="79"/>
      <c r="J702" s="79"/>
      <c r="K702" s="79"/>
      <c r="L702" s="79"/>
      <c r="M702" s="79"/>
      <c r="N702" s="79"/>
      <c r="O702" s="79"/>
      <c r="P702" s="79"/>
      <c r="Q702" s="79">
        <f t="shared" si="30"/>
        <v>0</v>
      </c>
      <c r="R702" s="79">
        <f t="shared" si="31"/>
        <v>0</v>
      </c>
      <c r="S702" s="79">
        <f t="shared" si="32"/>
        <v>0</v>
      </c>
    </row>
    <row r="703" spans="1:19" x14ac:dyDescent="0.2">
      <c r="A703" s="102" t="s">
        <v>5564</v>
      </c>
      <c r="B703" s="71" t="s">
        <v>5610</v>
      </c>
      <c r="C703" s="76">
        <v>448</v>
      </c>
      <c r="D703" s="72" t="s">
        <v>5689</v>
      </c>
      <c r="E703" s="73" t="s">
        <v>19</v>
      </c>
      <c r="F703" s="75">
        <v>42309</v>
      </c>
      <c r="G703" s="82">
        <f>40</f>
        <v>40</v>
      </c>
      <c r="H703" s="79"/>
      <c r="I703" s="79"/>
      <c r="J703" s="79"/>
      <c r="K703" s="79"/>
      <c r="L703" s="79"/>
      <c r="M703" s="79"/>
      <c r="N703" s="79"/>
      <c r="O703" s="79"/>
      <c r="P703" s="79"/>
      <c r="Q703" s="79">
        <f t="shared" si="30"/>
        <v>40</v>
      </c>
      <c r="R703" s="79">
        <f t="shared" si="31"/>
        <v>0</v>
      </c>
      <c r="S703" s="79">
        <f t="shared" si="32"/>
        <v>40</v>
      </c>
    </row>
    <row r="704" spans="1:19" x14ac:dyDescent="0.2">
      <c r="A704" s="102" t="s">
        <v>5564</v>
      </c>
      <c r="B704" s="71" t="s">
        <v>5610</v>
      </c>
      <c r="C704" s="76">
        <v>448</v>
      </c>
      <c r="D704" s="72" t="s">
        <v>5690</v>
      </c>
      <c r="E704" s="73" t="s">
        <v>19</v>
      </c>
      <c r="F704" s="75">
        <v>42309</v>
      </c>
      <c r="G704" s="82">
        <f>140.1</f>
        <v>140.1</v>
      </c>
      <c r="H704" s="79"/>
      <c r="I704" s="79"/>
      <c r="J704" s="79"/>
      <c r="K704" s="79"/>
      <c r="L704" s="79"/>
      <c r="M704" s="79"/>
      <c r="N704" s="79"/>
      <c r="O704" s="79"/>
      <c r="P704" s="79"/>
      <c r="Q704" s="79">
        <f t="shared" si="30"/>
        <v>140.1</v>
      </c>
      <c r="R704" s="79">
        <f t="shared" si="31"/>
        <v>0</v>
      </c>
      <c r="S704" s="79">
        <f t="shared" si="32"/>
        <v>140.1</v>
      </c>
    </row>
    <row r="705" spans="1:19" x14ac:dyDescent="0.2">
      <c r="A705" s="102" t="s">
        <v>5564</v>
      </c>
      <c r="B705" s="71" t="s">
        <v>5610</v>
      </c>
      <c r="C705" s="76">
        <v>448</v>
      </c>
      <c r="D705" s="72" t="s">
        <v>5691</v>
      </c>
      <c r="E705" s="73" t="s">
        <v>19</v>
      </c>
      <c r="F705" s="75">
        <v>42309</v>
      </c>
      <c r="G705" s="82">
        <f>48+16.38</f>
        <v>64.38</v>
      </c>
      <c r="H705" s="79"/>
      <c r="I705" s="79"/>
      <c r="J705" s="79"/>
      <c r="K705" s="79"/>
      <c r="L705" s="79"/>
      <c r="M705" s="79"/>
      <c r="N705" s="79"/>
      <c r="O705" s="79"/>
      <c r="P705" s="79"/>
      <c r="Q705" s="79">
        <f t="shared" si="30"/>
        <v>64.38</v>
      </c>
      <c r="R705" s="79">
        <f t="shared" si="31"/>
        <v>0</v>
      </c>
      <c r="S705" s="79">
        <f t="shared" si="32"/>
        <v>64.38</v>
      </c>
    </row>
    <row r="706" spans="1:19" x14ac:dyDescent="0.2">
      <c r="A706" s="102" t="s">
        <v>5564</v>
      </c>
      <c r="B706" s="71" t="s">
        <v>5610</v>
      </c>
      <c r="C706" s="76">
        <v>448</v>
      </c>
      <c r="D706" s="72" t="s">
        <v>5692</v>
      </c>
      <c r="E706" s="73" t="s">
        <v>19</v>
      </c>
      <c r="F706" s="75">
        <v>42309</v>
      </c>
      <c r="G706" s="82">
        <f>221+522+50+348.1+64.9+129.4</f>
        <v>1335.4</v>
      </c>
      <c r="H706" s="79"/>
      <c r="I706" s="79">
        <f>1500+1500</f>
        <v>3000</v>
      </c>
      <c r="J706" s="79"/>
      <c r="K706" s="79"/>
      <c r="L706" s="79"/>
      <c r="M706" s="79"/>
      <c r="N706" s="79"/>
      <c r="O706" s="79"/>
      <c r="P706" s="79"/>
      <c r="Q706" s="79">
        <f t="shared" si="30"/>
        <v>4335.3999999999996</v>
      </c>
      <c r="R706" s="79">
        <f t="shared" si="31"/>
        <v>0</v>
      </c>
      <c r="S706" s="79">
        <f t="shared" si="32"/>
        <v>4335.3999999999996</v>
      </c>
    </row>
    <row r="707" spans="1:19" x14ac:dyDescent="0.2">
      <c r="A707" s="102" t="s">
        <v>5564</v>
      </c>
      <c r="B707" s="71" t="s">
        <v>5610</v>
      </c>
      <c r="C707" s="76">
        <v>448</v>
      </c>
      <c r="D707" s="72" t="s">
        <v>5693</v>
      </c>
      <c r="E707" s="73" t="s">
        <v>19</v>
      </c>
      <c r="F707" s="75">
        <v>42309</v>
      </c>
      <c r="G707" s="82">
        <f>48</f>
        <v>48</v>
      </c>
      <c r="H707" s="79"/>
      <c r="I707" s="79"/>
      <c r="J707" s="79"/>
      <c r="K707" s="79"/>
      <c r="L707" s="79"/>
      <c r="M707" s="79"/>
      <c r="N707" s="79"/>
      <c r="O707" s="79"/>
      <c r="P707" s="79"/>
      <c r="Q707" s="79">
        <f t="shared" si="30"/>
        <v>48</v>
      </c>
      <c r="R707" s="79">
        <f t="shared" si="31"/>
        <v>0</v>
      </c>
      <c r="S707" s="79">
        <f t="shared" si="32"/>
        <v>48</v>
      </c>
    </row>
    <row r="708" spans="1:19" x14ac:dyDescent="0.2">
      <c r="A708" s="102" t="s">
        <v>5564</v>
      </c>
      <c r="B708" s="71" t="s">
        <v>5610</v>
      </c>
      <c r="C708" s="76">
        <v>448</v>
      </c>
      <c r="D708" s="72" t="s">
        <v>5694</v>
      </c>
      <c r="E708" s="73" t="s">
        <v>19</v>
      </c>
      <c r="F708" s="75">
        <v>42309</v>
      </c>
      <c r="G708" s="82">
        <f>48</f>
        <v>48</v>
      </c>
      <c r="H708" s="79"/>
      <c r="I708" s="79"/>
      <c r="J708" s="79"/>
      <c r="K708" s="79"/>
      <c r="L708" s="79"/>
      <c r="M708" s="79"/>
      <c r="N708" s="79"/>
      <c r="O708" s="79"/>
      <c r="P708" s="79"/>
      <c r="Q708" s="79">
        <f t="shared" si="30"/>
        <v>48</v>
      </c>
      <c r="R708" s="79">
        <f t="shared" si="31"/>
        <v>0</v>
      </c>
      <c r="S708" s="79">
        <f t="shared" si="32"/>
        <v>48</v>
      </c>
    </row>
    <row r="709" spans="1:19" x14ac:dyDescent="0.2">
      <c r="A709" s="102" t="s">
        <v>5564</v>
      </c>
      <c r="B709" s="71" t="s">
        <v>5610</v>
      </c>
      <c r="C709" s="76">
        <v>448</v>
      </c>
      <c r="D709" s="72" t="s">
        <v>5695</v>
      </c>
      <c r="E709" s="73" t="s">
        <v>19</v>
      </c>
      <c r="F709" s="75">
        <v>42309</v>
      </c>
      <c r="G709" s="82">
        <f>48</f>
        <v>48</v>
      </c>
      <c r="H709" s="79"/>
      <c r="I709" s="79"/>
      <c r="J709" s="79"/>
      <c r="K709" s="79"/>
      <c r="L709" s="79"/>
      <c r="M709" s="79"/>
      <c r="N709" s="79"/>
      <c r="O709" s="79"/>
      <c r="P709" s="79"/>
      <c r="Q709" s="79">
        <f t="shared" si="30"/>
        <v>48</v>
      </c>
      <c r="R709" s="79">
        <f t="shared" si="31"/>
        <v>0</v>
      </c>
      <c r="S709" s="79">
        <f t="shared" si="32"/>
        <v>48</v>
      </c>
    </row>
    <row r="710" spans="1:19" x14ac:dyDescent="0.2">
      <c r="A710" s="102" t="s">
        <v>5564</v>
      </c>
      <c r="B710" s="71" t="s">
        <v>5610</v>
      </c>
      <c r="C710" s="76">
        <v>448</v>
      </c>
      <c r="D710" s="72" t="s">
        <v>5696</v>
      </c>
      <c r="E710" s="73" t="s">
        <v>19</v>
      </c>
      <c r="F710" s="75">
        <v>42309</v>
      </c>
      <c r="G710" s="82">
        <f>40</f>
        <v>40</v>
      </c>
      <c r="H710" s="79"/>
      <c r="I710" s="79"/>
      <c r="J710" s="79"/>
      <c r="K710" s="79"/>
      <c r="L710" s="79"/>
      <c r="M710" s="79"/>
      <c r="N710" s="79"/>
      <c r="O710" s="79"/>
      <c r="P710" s="79"/>
      <c r="Q710" s="79">
        <f t="shared" si="30"/>
        <v>40</v>
      </c>
      <c r="R710" s="79">
        <f t="shared" si="31"/>
        <v>0</v>
      </c>
      <c r="S710" s="79">
        <f t="shared" si="32"/>
        <v>40</v>
      </c>
    </row>
    <row r="711" spans="1:19" x14ac:dyDescent="0.2">
      <c r="A711" s="102" t="s">
        <v>5564</v>
      </c>
      <c r="B711" s="71" t="s">
        <v>5610</v>
      </c>
      <c r="C711" s="76">
        <v>448</v>
      </c>
      <c r="D711" s="72" t="s">
        <v>5697</v>
      </c>
      <c r="E711" s="73" t="s">
        <v>19</v>
      </c>
      <c r="F711" s="75">
        <v>42309</v>
      </c>
      <c r="G711" s="82">
        <f>48.9</f>
        <v>48.9</v>
      </c>
      <c r="H711" s="79"/>
      <c r="I711" s="79"/>
      <c r="J711" s="79"/>
      <c r="K711" s="79"/>
      <c r="L711" s="79"/>
      <c r="M711" s="79"/>
      <c r="N711" s="79"/>
      <c r="O711" s="79"/>
      <c r="P711" s="79"/>
      <c r="Q711" s="79">
        <f t="shared" si="30"/>
        <v>48.9</v>
      </c>
      <c r="R711" s="79">
        <f t="shared" si="31"/>
        <v>0</v>
      </c>
      <c r="S711" s="79">
        <f t="shared" si="32"/>
        <v>48.9</v>
      </c>
    </row>
    <row r="712" spans="1:19" x14ac:dyDescent="0.2">
      <c r="A712" s="102" t="s">
        <v>5564</v>
      </c>
      <c r="B712" s="71" t="s">
        <v>5610</v>
      </c>
      <c r="C712" s="76">
        <v>448</v>
      </c>
      <c r="D712" s="72" t="s">
        <v>5698</v>
      </c>
      <c r="E712" s="73" t="s">
        <v>19</v>
      </c>
      <c r="F712" s="75">
        <v>42309</v>
      </c>
      <c r="G712" s="82">
        <f>50.3</f>
        <v>50.3</v>
      </c>
      <c r="H712" s="79"/>
      <c r="I712" s="79"/>
      <c r="J712" s="79"/>
      <c r="K712" s="79"/>
      <c r="L712" s="79"/>
      <c r="M712" s="79"/>
      <c r="N712" s="79"/>
      <c r="O712" s="79"/>
      <c r="P712" s="79"/>
      <c r="Q712" s="79">
        <f t="shared" ref="Q712:Q775" si="33">+G712+I712+K712+M712+O712</f>
        <v>50.3</v>
      </c>
      <c r="R712" s="79">
        <f t="shared" ref="R712:R775" si="34">+H712+J712+L712+N712+P712</f>
        <v>0</v>
      </c>
      <c r="S712" s="79">
        <f t="shared" ref="S712:S775" si="35">+Q712+R712</f>
        <v>50.3</v>
      </c>
    </row>
    <row r="713" spans="1:19" x14ac:dyDescent="0.2">
      <c r="A713" s="102" t="s">
        <v>5564</v>
      </c>
      <c r="B713" s="71" t="s">
        <v>5610</v>
      </c>
      <c r="C713" s="76">
        <v>448</v>
      </c>
      <c r="D713" s="72" t="s">
        <v>5699</v>
      </c>
      <c r="E713" s="73" t="s">
        <v>19</v>
      </c>
      <c r="F713" s="75">
        <v>42309</v>
      </c>
      <c r="G713" s="82">
        <f>105.9</f>
        <v>105.9</v>
      </c>
      <c r="H713" s="79"/>
      <c r="I713" s="79"/>
      <c r="J713" s="79"/>
      <c r="K713" s="79"/>
      <c r="L713" s="79"/>
      <c r="M713" s="79"/>
      <c r="N713" s="79"/>
      <c r="O713" s="79"/>
      <c r="P713" s="79"/>
      <c r="Q713" s="79">
        <f t="shared" si="33"/>
        <v>105.9</v>
      </c>
      <c r="R713" s="79">
        <f t="shared" si="34"/>
        <v>0</v>
      </c>
      <c r="S713" s="79">
        <f t="shared" si="35"/>
        <v>105.9</v>
      </c>
    </row>
    <row r="714" spans="1:19" x14ac:dyDescent="0.2">
      <c r="A714" s="102" t="s">
        <v>5564</v>
      </c>
      <c r="B714" s="71" t="s">
        <v>5610</v>
      </c>
      <c r="C714" s="76">
        <v>448</v>
      </c>
      <c r="D714" s="72" t="s">
        <v>5700</v>
      </c>
      <c r="E714" s="73" t="s">
        <v>19</v>
      </c>
      <c r="F714" s="75">
        <v>42309</v>
      </c>
      <c r="G714" s="82">
        <f>41.4</f>
        <v>41.4</v>
      </c>
      <c r="H714" s="79"/>
      <c r="I714" s="79"/>
      <c r="J714" s="79"/>
      <c r="K714" s="79"/>
      <c r="L714" s="79"/>
      <c r="M714" s="79"/>
      <c r="N714" s="79"/>
      <c r="O714" s="79"/>
      <c r="P714" s="79"/>
      <c r="Q714" s="79">
        <f t="shared" si="33"/>
        <v>41.4</v>
      </c>
      <c r="R714" s="79">
        <f t="shared" si="34"/>
        <v>0</v>
      </c>
      <c r="S714" s="79">
        <f t="shared" si="35"/>
        <v>41.4</v>
      </c>
    </row>
    <row r="715" spans="1:19" x14ac:dyDescent="0.2">
      <c r="A715" s="102" t="s">
        <v>5564</v>
      </c>
      <c r="B715" s="71" t="s">
        <v>5610</v>
      </c>
      <c r="C715" s="76">
        <v>448</v>
      </c>
      <c r="D715" s="72" t="s">
        <v>5701</v>
      </c>
      <c r="E715" s="73" t="s">
        <v>19</v>
      </c>
      <c r="F715" s="75">
        <v>42309</v>
      </c>
      <c r="G715" s="82">
        <f>48</f>
        <v>48</v>
      </c>
      <c r="H715" s="79"/>
      <c r="I715" s="79"/>
      <c r="J715" s="79"/>
      <c r="K715" s="79"/>
      <c r="L715" s="79"/>
      <c r="M715" s="79"/>
      <c r="N715" s="79"/>
      <c r="O715" s="79"/>
      <c r="P715" s="79"/>
      <c r="Q715" s="79">
        <f t="shared" si="33"/>
        <v>48</v>
      </c>
      <c r="R715" s="79">
        <f t="shared" si="34"/>
        <v>0</v>
      </c>
      <c r="S715" s="79">
        <f t="shared" si="35"/>
        <v>48</v>
      </c>
    </row>
    <row r="716" spans="1:19" x14ac:dyDescent="0.2">
      <c r="A716" s="102" t="s">
        <v>5565</v>
      </c>
      <c r="B716" s="71" t="s">
        <v>5611</v>
      </c>
      <c r="C716" s="76">
        <v>449</v>
      </c>
      <c r="D716" s="72" t="s">
        <v>5702</v>
      </c>
      <c r="E716" s="73" t="s">
        <v>5724</v>
      </c>
      <c r="F716" s="75">
        <v>42309</v>
      </c>
      <c r="G716" s="82">
        <f>61</f>
        <v>61</v>
      </c>
      <c r="H716" s="79"/>
      <c r="I716" s="79"/>
      <c r="J716" s="79"/>
      <c r="K716" s="79"/>
      <c r="L716" s="79"/>
      <c r="M716" s="79"/>
      <c r="N716" s="79"/>
      <c r="O716" s="79"/>
      <c r="P716" s="79"/>
      <c r="Q716" s="79">
        <f t="shared" si="33"/>
        <v>61</v>
      </c>
      <c r="R716" s="79">
        <f t="shared" si="34"/>
        <v>0</v>
      </c>
      <c r="S716" s="79">
        <f t="shared" si="35"/>
        <v>61</v>
      </c>
    </row>
    <row r="717" spans="1:19" x14ac:dyDescent="0.2">
      <c r="A717" s="102" t="s">
        <v>5565</v>
      </c>
      <c r="B717" s="71" t="s">
        <v>5611</v>
      </c>
      <c r="C717" s="76">
        <v>449</v>
      </c>
      <c r="D717" s="72" t="s">
        <v>5703</v>
      </c>
      <c r="E717" s="73" t="s">
        <v>5724</v>
      </c>
      <c r="F717" s="75">
        <v>42309</v>
      </c>
      <c r="G717" s="82">
        <f>61</f>
        <v>61</v>
      </c>
      <c r="H717" s="79"/>
      <c r="I717" s="79"/>
      <c r="J717" s="79"/>
      <c r="K717" s="79"/>
      <c r="L717" s="79"/>
      <c r="M717" s="79"/>
      <c r="N717" s="79"/>
      <c r="O717" s="79"/>
      <c r="P717" s="79"/>
      <c r="Q717" s="79">
        <f t="shared" si="33"/>
        <v>61</v>
      </c>
      <c r="R717" s="79">
        <f t="shared" si="34"/>
        <v>0</v>
      </c>
      <c r="S717" s="79">
        <f t="shared" si="35"/>
        <v>61</v>
      </c>
    </row>
    <row r="718" spans="1:19" x14ac:dyDescent="0.2">
      <c r="A718" s="102" t="s">
        <v>5565</v>
      </c>
      <c r="B718" s="71" t="s">
        <v>5611</v>
      </c>
      <c r="C718" s="76">
        <v>449</v>
      </c>
      <c r="D718" s="72" t="s">
        <v>5704</v>
      </c>
      <c r="E718" s="73" t="s">
        <v>5724</v>
      </c>
      <c r="F718" s="75">
        <v>42309</v>
      </c>
      <c r="G718" s="82"/>
      <c r="H718" s="79"/>
      <c r="I718" s="79"/>
      <c r="J718" s="79"/>
      <c r="K718" s="79"/>
      <c r="L718" s="79"/>
      <c r="M718" s="79"/>
      <c r="N718" s="79"/>
      <c r="O718" s="79"/>
      <c r="P718" s="79"/>
      <c r="Q718" s="79">
        <f t="shared" si="33"/>
        <v>0</v>
      </c>
      <c r="R718" s="79">
        <f t="shared" si="34"/>
        <v>0</v>
      </c>
      <c r="S718" s="79">
        <f t="shared" si="35"/>
        <v>0</v>
      </c>
    </row>
    <row r="719" spans="1:19" x14ac:dyDescent="0.2">
      <c r="A719" s="102" t="s">
        <v>5566</v>
      </c>
      <c r="B719" s="71" t="s">
        <v>5612</v>
      </c>
      <c r="C719" s="76">
        <v>450</v>
      </c>
      <c r="D719" s="72" t="s">
        <v>5705</v>
      </c>
      <c r="E719" s="73" t="s">
        <v>19</v>
      </c>
      <c r="F719" s="75">
        <v>42310</v>
      </c>
      <c r="G719" s="82">
        <f>194</f>
        <v>194</v>
      </c>
      <c r="H719" s="79"/>
      <c r="I719" s="79"/>
      <c r="J719" s="79"/>
      <c r="K719" s="79"/>
      <c r="L719" s="79"/>
      <c r="M719" s="79"/>
      <c r="N719" s="79"/>
      <c r="O719" s="79"/>
      <c r="P719" s="79"/>
      <c r="Q719" s="79">
        <f t="shared" si="33"/>
        <v>194</v>
      </c>
      <c r="R719" s="79">
        <f t="shared" si="34"/>
        <v>0</v>
      </c>
      <c r="S719" s="79">
        <f t="shared" si="35"/>
        <v>194</v>
      </c>
    </row>
    <row r="720" spans="1:19" x14ac:dyDescent="0.2">
      <c r="A720" s="102" t="s">
        <v>5567</v>
      </c>
      <c r="B720" s="71" t="s">
        <v>5613</v>
      </c>
      <c r="C720" s="76">
        <v>451</v>
      </c>
      <c r="D720" s="72" t="s">
        <v>5706</v>
      </c>
      <c r="E720" s="73" t="s">
        <v>19</v>
      </c>
      <c r="F720" s="75">
        <v>42310</v>
      </c>
      <c r="G720" s="82">
        <f>107.63+107+3287.34</f>
        <v>3501.9700000000003</v>
      </c>
      <c r="H720" s="79"/>
      <c r="I720" s="79">
        <v>375</v>
      </c>
      <c r="J720" s="79"/>
      <c r="K720" s="79"/>
      <c r="L720" s="79"/>
      <c r="M720" s="79"/>
      <c r="N720" s="79"/>
      <c r="O720" s="79"/>
      <c r="P720" s="79"/>
      <c r="Q720" s="79">
        <f t="shared" si="33"/>
        <v>3876.9700000000003</v>
      </c>
      <c r="R720" s="79">
        <f t="shared" si="34"/>
        <v>0</v>
      </c>
      <c r="S720" s="79">
        <f t="shared" si="35"/>
        <v>3876.9700000000003</v>
      </c>
    </row>
    <row r="721" spans="1:19" x14ac:dyDescent="0.2">
      <c r="A721" s="102" t="s">
        <v>5568</v>
      </c>
      <c r="B721" s="71" t="s">
        <v>5614</v>
      </c>
      <c r="C721" s="76">
        <v>452</v>
      </c>
      <c r="D721" s="72" t="s">
        <v>5707</v>
      </c>
      <c r="E721" s="73" t="s">
        <v>19</v>
      </c>
      <c r="F721" s="75">
        <v>42311</v>
      </c>
      <c r="G721" s="82">
        <f>40</f>
        <v>40</v>
      </c>
      <c r="H721" s="79"/>
      <c r="I721" s="79"/>
      <c r="J721" s="79"/>
      <c r="K721" s="79"/>
      <c r="L721" s="79"/>
      <c r="M721" s="79"/>
      <c r="N721" s="79"/>
      <c r="O721" s="79"/>
      <c r="P721" s="79"/>
      <c r="Q721" s="79">
        <f t="shared" si="33"/>
        <v>40</v>
      </c>
      <c r="R721" s="79">
        <f t="shared" si="34"/>
        <v>0</v>
      </c>
      <c r="S721" s="79">
        <f t="shared" si="35"/>
        <v>40</v>
      </c>
    </row>
    <row r="722" spans="1:19" x14ac:dyDescent="0.2">
      <c r="A722" s="102" t="s">
        <v>5568</v>
      </c>
      <c r="B722" s="71" t="s">
        <v>5614</v>
      </c>
      <c r="C722" s="76">
        <v>452</v>
      </c>
      <c r="D722" s="72" t="s">
        <v>5708</v>
      </c>
      <c r="E722" s="73" t="s">
        <v>19</v>
      </c>
      <c r="F722" s="75">
        <v>42311</v>
      </c>
      <c r="G722" s="82">
        <f>40</f>
        <v>40</v>
      </c>
      <c r="H722" s="79"/>
      <c r="I722" s="79"/>
      <c r="J722" s="79"/>
      <c r="K722" s="79"/>
      <c r="L722" s="79"/>
      <c r="M722" s="79"/>
      <c r="N722" s="79"/>
      <c r="O722" s="79"/>
      <c r="P722" s="79"/>
      <c r="Q722" s="79">
        <f t="shared" si="33"/>
        <v>40</v>
      </c>
      <c r="R722" s="79">
        <f t="shared" si="34"/>
        <v>0</v>
      </c>
      <c r="S722" s="79">
        <f t="shared" si="35"/>
        <v>40</v>
      </c>
    </row>
    <row r="723" spans="1:19" x14ac:dyDescent="0.2">
      <c r="A723" s="102" t="s">
        <v>5568</v>
      </c>
      <c r="B723" s="71" t="s">
        <v>5614</v>
      </c>
      <c r="C723" s="76">
        <v>452</v>
      </c>
      <c r="D723" s="72" t="s">
        <v>5709</v>
      </c>
      <c r="E723" s="73" t="s">
        <v>19</v>
      </c>
      <c r="F723" s="75">
        <v>42311</v>
      </c>
      <c r="G723" s="82">
        <f>105.7</f>
        <v>105.7</v>
      </c>
      <c r="H723" s="79"/>
      <c r="I723" s="79"/>
      <c r="J723" s="79"/>
      <c r="K723" s="79"/>
      <c r="L723" s="79"/>
      <c r="M723" s="79"/>
      <c r="N723" s="79"/>
      <c r="O723" s="79"/>
      <c r="P723" s="79"/>
      <c r="Q723" s="79">
        <f t="shared" si="33"/>
        <v>105.7</v>
      </c>
      <c r="R723" s="79">
        <f t="shared" si="34"/>
        <v>0</v>
      </c>
      <c r="S723" s="79">
        <f t="shared" si="35"/>
        <v>105.7</v>
      </c>
    </row>
    <row r="724" spans="1:19" x14ac:dyDescent="0.2">
      <c r="A724" s="102" t="s">
        <v>5569</v>
      </c>
      <c r="B724" s="71" t="s">
        <v>5615</v>
      </c>
      <c r="C724" s="76">
        <v>453</v>
      </c>
      <c r="D724" s="73" t="s">
        <v>5710</v>
      </c>
      <c r="E724" s="73" t="s">
        <v>19</v>
      </c>
      <c r="F724" s="75">
        <v>42311</v>
      </c>
      <c r="G724" s="82">
        <f>114</f>
        <v>114</v>
      </c>
      <c r="H724" s="79"/>
      <c r="I724" s="79"/>
      <c r="J724" s="79"/>
      <c r="K724" s="79"/>
      <c r="L724" s="79"/>
      <c r="M724" s="79"/>
      <c r="N724" s="79"/>
      <c r="O724" s="79"/>
      <c r="P724" s="79"/>
      <c r="Q724" s="79">
        <f t="shared" si="33"/>
        <v>114</v>
      </c>
      <c r="R724" s="79">
        <f t="shared" si="34"/>
        <v>0</v>
      </c>
      <c r="S724" s="79">
        <f t="shared" si="35"/>
        <v>114</v>
      </c>
    </row>
    <row r="725" spans="1:19" x14ac:dyDescent="0.2">
      <c r="A725" s="102" t="s">
        <v>5570</v>
      </c>
      <c r="B725" s="71" t="s">
        <v>5616</v>
      </c>
      <c r="C725" s="76">
        <v>454</v>
      </c>
      <c r="D725" s="73" t="s">
        <v>5711</v>
      </c>
      <c r="E725" s="73" t="s">
        <v>19</v>
      </c>
      <c r="F725" s="75">
        <v>42312</v>
      </c>
      <c r="G725" s="82">
        <f>167.6</f>
        <v>167.6</v>
      </c>
      <c r="H725" s="79"/>
      <c r="I725" s="79"/>
      <c r="J725" s="79"/>
      <c r="K725" s="79"/>
      <c r="L725" s="79"/>
      <c r="M725" s="79"/>
      <c r="N725" s="79"/>
      <c r="O725" s="79"/>
      <c r="P725" s="79"/>
      <c r="Q725" s="79">
        <f t="shared" si="33"/>
        <v>167.6</v>
      </c>
      <c r="R725" s="79">
        <f t="shared" si="34"/>
        <v>0</v>
      </c>
      <c r="S725" s="79">
        <f t="shared" si="35"/>
        <v>167.6</v>
      </c>
    </row>
    <row r="726" spans="1:19" x14ac:dyDescent="0.2">
      <c r="A726" s="102" t="s">
        <v>5571</v>
      </c>
      <c r="B726" s="71" t="s">
        <v>5617</v>
      </c>
      <c r="C726" s="76">
        <v>455</v>
      </c>
      <c r="D726" s="73" t="s">
        <v>5712</v>
      </c>
      <c r="E726" s="73" t="s">
        <v>19</v>
      </c>
      <c r="F726" s="75">
        <v>42312</v>
      </c>
      <c r="G726" s="82">
        <f>507.64</f>
        <v>507.64</v>
      </c>
      <c r="H726" s="79"/>
      <c r="I726" s="79"/>
      <c r="J726" s="79"/>
      <c r="K726" s="79"/>
      <c r="L726" s="79"/>
      <c r="M726" s="79"/>
      <c r="N726" s="79"/>
      <c r="O726" s="79"/>
      <c r="P726" s="79"/>
      <c r="Q726" s="79">
        <f t="shared" si="33"/>
        <v>507.64</v>
      </c>
      <c r="R726" s="79">
        <f t="shared" si="34"/>
        <v>0</v>
      </c>
      <c r="S726" s="79">
        <f t="shared" si="35"/>
        <v>507.64</v>
      </c>
    </row>
    <row r="727" spans="1:19" x14ac:dyDescent="0.2">
      <c r="A727" s="102" t="s">
        <v>5571</v>
      </c>
      <c r="B727" s="71" t="s">
        <v>5617</v>
      </c>
      <c r="C727" s="76">
        <v>455</v>
      </c>
      <c r="D727" s="73" t="s">
        <v>5713</v>
      </c>
      <c r="E727" s="73" t="s">
        <v>19</v>
      </c>
      <c r="F727" s="75">
        <v>42312</v>
      </c>
      <c r="G727" s="82">
        <f>458.02</f>
        <v>458.02</v>
      </c>
      <c r="H727" s="79"/>
      <c r="I727" s="79"/>
      <c r="J727" s="79"/>
      <c r="K727" s="79"/>
      <c r="L727" s="79"/>
      <c r="M727" s="79"/>
      <c r="N727" s="79"/>
      <c r="O727" s="79"/>
      <c r="P727" s="79"/>
      <c r="Q727" s="79">
        <f t="shared" si="33"/>
        <v>458.02</v>
      </c>
      <c r="R727" s="79">
        <f t="shared" si="34"/>
        <v>0</v>
      </c>
      <c r="S727" s="79">
        <f t="shared" si="35"/>
        <v>458.02</v>
      </c>
    </row>
    <row r="728" spans="1:19" x14ac:dyDescent="0.2">
      <c r="A728" s="102" t="s">
        <v>5572</v>
      </c>
      <c r="B728" s="71" t="s">
        <v>5618</v>
      </c>
      <c r="C728" s="76">
        <v>456</v>
      </c>
      <c r="D728" s="73" t="s">
        <v>5714</v>
      </c>
      <c r="E728" s="73" t="s">
        <v>19</v>
      </c>
      <c r="F728" s="75">
        <v>42312</v>
      </c>
      <c r="G728" s="82">
        <f>92.63</f>
        <v>92.63</v>
      </c>
      <c r="H728" s="79"/>
      <c r="I728" s="79"/>
      <c r="J728" s="79"/>
      <c r="K728" s="79"/>
      <c r="L728" s="79"/>
      <c r="M728" s="79"/>
      <c r="N728" s="79"/>
      <c r="O728" s="79"/>
      <c r="P728" s="79"/>
      <c r="Q728" s="79">
        <f t="shared" si="33"/>
        <v>92.63</v>
      </c>
      <c r="R728" s="79">
        <f t="shared" si="34"/>
        <v>0</v>
      </c>
      <c r="S728" s="79">
        <f t="shared" si="35"/>
        <v>92.63</v>
      </c>
    </row>
    <row r="729" spans="1:19" x14ac:dyDescent="0.2">
      <c r="A729" s="102" t="s">
        <v>5573</v>
      </c>
      <c r="B729" s="71" t="s">
        <v>5619</v>
      </c>
      <c r="C729" s="76">
        <v>457</v>
      </c>
      <c r="D729" s="73" t="s">
        <v>5715</v>
      </c>
      <c r="E729" s="73" t="s">
        <v>19</v>
      </c>
      <c r="F729" s="75">
        <v>42314</v>
      </c>
      <c r="G729" s="82">
        <f>41.3+4221.62+41.3</f>
        <v>4304.22</v>
      </c>
      <c r="H729" s="79"/>
      <c r="I729" s="79"/>
      <c r="J729" s="79"/>
      <c r="K729" s="79"/>
      <c r="L729" s="79"/>
      <c r="M729" s="79"/>
      <c r="N729" s="79"/>
      <c r="O729" s="79"/>
      <c r="P729" s="79"/>
      <c r="Q729" s="79">
        <f t="shared" si="33"/>
        <v>4304.22</v>
      </c>
      <c r="R729" s="79">
        <f t="shared" si="34"/>
        <v>0</v>
      </c>
      <c r="S729" s="79">
        <f t="shared" si="35"/>
        <v>4304.22</v>
      </c>
    </row>
    <row r="730" spans="1:19" x14ac:dyDescent="0.2">
      <c r="A730" s="102" t="s">
        <v>5574</v>
      </c>
      <c r="B730" s="71" t="s">
        <v>5620</v>
      </c>
      <c r="C730" s="76">
        <v>458</v>
      </c>
      <c r="D730" s="73" t="s">
        <v>5716</v>
      </c>
      <c r="E730" s="73" t="s">
        <v>19</v>
      </c>
      <c r="F730" s="75">
        <v>42314</v>
      </c>
      <c r="G730" s="82">
        <f>106.6</f>
        <v>106.6</v>
      </c>
      <c r="H730" s="79"/>
      <c r="I730" s="79"/>
      <c r="J730" s="79"/>
      <c r="K730" s="79"/>
      <c r="L730" s="79"/>
      <c r="M730" s="79"/>
      <c r="N730" s="79"/>
      <c r="O730" s="79"/>
      <c r="P730" s="79"/>
      <c r="Q730" s="79">
        <f t="shared" si="33"/>
        <v>106.6</v>
      </c>
      <c r="R730" s="79">
        <f t="shared" si="34"/>
        <v>0</v>
      </c>
      <c r="S730" s="79">
        <f t="shared" si="35"/>
        <v>106.6</v>
      </c>
    </row>
    <row r="731" spans="1:19" x14ac:dyDescent="0.2">
      <c r="A731" s="102" t="s">
        <v>5575</v>
      </c>
      <c r="B731" s="71" t="s">
        <v>5621</v>
      </c>
      <c r="C731" s="76">
        <v>459</v>
      </c>
      <c r="D731" s="73" t="s">
        <v>5717</v>
      </c>
      <c r="E731" s="73" t="s">
        <v>19</v>
      </c>
      <c r="F731" s="75">
        <v>42314</v>
      </c>
      <c r="G731" s="82">
        <f>300.4+85.3</f>
        <v>385.7</v>
      </c>
      <c r="H731" s="79"/>
      <c r="I731" s="79">
        <v>250</v>
      </c>
      <c r="J731" s="79"/>
      <c r="K731" s="79"/>
      <c r="L731" s="79"/>
      <c r="M731" s="79"/>
      <c r="N731" s="79"/>
      <c r="O731" s="79"/>
      <c r="P731" s="79"/>
      <c r="Q731" s="79">
        <f t="shared" si="33"/>
        <v>635.70000000000005</v>
      </c>
      <c r="R731" s="79">
        <f t="shared" si="34"/>
        <v>0</v>
      </c>
      <c r="S731" s="79">
        <f t="shared" si="35"/>
        <v>635.70000000000005</v>
      </c>
    </row>
    <row r="732" spans="1:19" x14ac:dyDescent="0.2">
      <c r="A732" s="102" t="s">
        <v>5576</v>
      </c>
      <c r="B732" s="71" t="s">
        <v>5622</v>
      </c>
      <c r="C732" s="76">
        <v>460</v>
      </c>
      <c r="D732" s="73" t="s">
        <v>5718</v>
      </c>
      <c r="E732" s="73" t="s">
        <v>19</v>
      </c>
      <c r="F732" s="75">
        <v>42315</v>
      </c>
      <c r="G732" s="82">
        <f>153+132.11</f>
        <v>285.11</v>
      </c>
      <c r="H732" s="79"/>
      <c r="I732" s="79"/>
      <c r="J732" s="79"/>
      <c r="K732" s="79"/>
      <c r="L732" s="79"/>
      <c r="M732" s="79"/>
      <c r="N732" s="79"/>
      <c r="O732" s="79"/>
      <c r="P732" s="79"/>
      <c r="Q732" s="79">
        <f t="shared" si="33"/>
        <v>285.11</v>
      </c>
      <c r="R732" s="79">
        <f t="shared" si="34"/>
        <v>0</v>
      </c>
      <c r="S732" s="79">
        <f t="shared" si="35"/>
        <v>285.11</v>
      </c>
    </row>
    <row r="733" spans="1:19" x14ac:dyDescent="0.2">
      <c r="A733" s="102" t="s">
        <v>5577</v>
      </c>
      <c r="B733" s="71" t="s">
        <v>5623</v>
      </c>
      <c r="C733" s="76">
        <v>461</v>
      </c>
      <c r="D733" s="73" t="s">
        <v>5719</v>
      </c>
      <c r="E733" s="73" t="s">
        <v>19</v>
      </c>
      <c r="F733" s="75">
        <v>42316</v>
      </c>
      <c r="G733" s="82">
        <f>232.16+153.81+41.3</f>
        <v>427.27000000000004</v>
      </c>
      <c r="H733" s="79"/>
      <c r="I733" s="79"/>
      <c r="J733" s="79"/>
      <c r="K733" s="79"/>
      <c r="L733" s="79"/>
      <c r="M733" s="79"/>
      <c r="N733" s="79"/>
      <c r="O733" s="79"/>
      <c r="P733" s="79"/>
      <c r="Q733" s="79">
        <f t="shared" si="33"/>
        <v>427.27000000000004</v>
      </c>
      <c r="R733" s="79">
        <f t="shared" si="34"/>
        <v>0</v>
      </c>
      <c r="S733" s="79">
        <f t="shared" si="35"/>
        <v>427.27000000000004</v>
      </c>
    </row>
    <row r="734" spans="1:19" x14ac:dyDescent="0.2">
      <c r="A734" s="102" t="s">
        <v>5578</v>
      </c>
      <c r="B734" s="71" t="s">
        <v>5624</v>
      </c>
      <c r="C734" s="76">
        <v>462</v>
      </c>
      <c r="D734" s="72" t="s">
        <v>5720</v>
      </c>
      <c r="E734" s="73" t="s">
        <v>19</v>
      </c>
      <c r="F734" s="75">
        <v>42318</v>
      </c>
      <c r="G734" s="82">
        <f>212.4</f>
        <v>212.4</v>
      </c>
      <c r="H734" s="79"/>
      <c r="I734" s="79">
        <v>750</v>
      </c>
      <c r="J734" s="79"/>
      <c r="K734" s="79"/>
      <c r="L734" s="79"/>
      <c r="M734" s="79"/>
      <c r="N734" s="79"/>
      <c r="O734" s="79"/>
      <c r="P734" s="79"/>
      <c r="Q734" s="79">
        <f t="shared" si="33"/>
        <v>962.4</v>
      </c>
      <c r="R734" s="79">
        <f t="shared" si="34"/>
        <v>0</v>
      </c>
      <c r="S734" s="79">
        <f t="shared" si="35"/>
        <v>962.4</v>
      </c>
    </row>
    <row r="735" spans="1:19" x14ac:dyDescent="0.2">
      <c r="A735" s="102" t="s">
        <v>5578</v>
      </c>
      <c r="B735" s="71" t="s">
        <v>5624</v>
      </c>
      <c r="C735" s="76">
        <v>462</v>
      </c>
      <c r="D735" s="72" t="s">
        <v>5721</v>
      </c>
      <c r="E735" s="73" t="s">
        <v>19</v>
      </c>
      <c r="F735" s="75">
        <v>42318</v>
      </c>
      <c r="G735" s="82">
        <f>113.3</f>
        <v>113.3</v>
      </c>
      <c r="H735" s="79"/>
      <c r="I735" s="79"/>
      <c r="J735" s="79"/>
      <c r="K735" s="79"/>
      <c r="L735" s="79"/>
      <c r="M735" s="79"/>
      <c r="N735" s="79"/>
      <c r="O735" s="79"/>
      <c r="P735" s="79"/>
      <c r="Q735" s="79">
        <f t="shared" si="33"/>
        <v>113.3</v>
      </c>
      <c r="R735" s="79">
        <f t="shared" si="34"/>
        <v>0</v>
      </c>
      <c r="S735" s="79">
        <f t="shared" si="35"/>
        <v>113.3</v>
      </c>
    </row>
    <row r="736" spans="1:19" x14ac:dyDescent="0.2">
      <c r="A736" s="102" t="s">
        <v>5578</v>
      </c>
      <c r="B736" s="71" t="s">
        <v>5624</v>
      </c>
      <c r="C736" s="76">
        <v>462</v>
      </c>
      <c r="D736" s="72" t="s">
        <v>5722</v>
      </c>
      <c r="E736" s="73" t="s">
        <v>19</v>
      </c>
      <c r="F736" s="75">
        <v>42318</v>
      </c>
      <c r="G736" s="82">
        <f>239.2</f>
        <v>239.2</v>
      </c>
      <c r="H736" s="79"/>
      <c r="I736" s="79">
        <v>525</v>
      </c>
      <c r="J736" s="79"/>
      <c r="K736" s="79"/>
      <c r="L736" s="79"/>
      <c r="M736" s="79"/>
      <c r="N736" s="79"/>
      <c r="O736" s="79"/>
      <c r="P736" s="79"/>
      <c r="Q736" s="79">
        <f t="shared" si="33"/>
        <v>764.2</v>
      </c>
      <c r="R736" s="79">
        <f t="shared" si="34"/>
        <v>0</v>
      </c>
      <c r="S736" s="79">
        <f t="shared" si="35"/>
        <v>764.2</v>
      </c>
    </row>
    <row r="737" spans="1:19" x14ac:dyDescent="0.2">
      <c r="A737" s="102" t="s">
        <v>5579</v>
      </c>
      <c r="B737" s="71" t="s">
        <v>5625</v>
      </c>
      <c r="C737" s="76">
        <v>463</v>
      </c>
      <c r="D737" s="72" t="s">
        <v>5723</v>
      </c>
      <c r="E737" s="73" t="s">
        <v>19</v>
      </c>
      <c r="F737" s="75">
        <v>42318</v>
      </c>
      <c r="G737" s="82">
        <f>228.68</f>
        <v>228.68</v>
      </c>
      <c r="H737" s="79"/>
      <c r="I737" s="79">
        <f>75</f>
        <v>75</v>
      </c>
      <c r="J737" s="79"/>
      <c r="K737" s="79"/>
      <c r="L737" s="79"/>
      <c r="M737" s="79"/>
      <c r="N737" s="79"/>
      <c r="O737" s="79"/>
      <c r="P737" s="79"/>
      <c r="Q737" s="79">
        <f t="shared" si="33"/>
        <v>303.68</v>
      </c>
      <c r="R737" s="79">
        <f t="shared" si="34"/>
        <v>0</v>
      </c>
      <c r="S737" s="79">
        <f t="shared" si="35"/>
        <v>303.68</v>
      </c>
    </row>
    <row r="738" spans="1:19" x14ac:dyDescent="0.2">
      <c r="A738" s="102" t="s">
        <v>5726</v>
      </c>
      <c r="B738" s="71" t="s">
        <v>4671</v>
      </c>
      <c r="C738" s="76">
        <v>464</v>
      </c>
      <c r="D738" s="72" t="s">
        <v>5795</v>
      </c>
      <c r="E738" s="73" t="s">
        <v>19</v>
      </c>
      <c r="F738" s="75">
        <v>42319</v>
      </c>
      <c r="G738" s="82">
        <f>240+405.04+191.8+184.5+436.6+436.6</f>
        <v>1894.54</v>
      </c>
      <c r="H738" s="79"/>
      <c r="I738" s="79"/>
      <c r="J738" s="79"/>
      <c r="K738" s="79"/>
      <c r="L738" s="79"/>
      <c r="M738" s="79"/>
      <c r="N738" s="79"/>
      <c r="O738" s="79"/>
      <c r="P738" s="79"/>
      <c r="Q738" s="79">
        <f t="shared" si="33"/>
        <v>1894.54</v>
      </c>
      <c r="R738" s="79">
        <f t="shared" si="34"/>
        <v>0</v>
      </c>
      <c r="S738" s="79">
        <f t="shared" si="35"/>
        <v>1894.54</v>
      </c>
    </row>
    <row r="739" spans="1:19" x14ac:dyDescent="0.2">
      <c r="A739" s="102" t="s">
        <v>5727</v>
      </c>
      <c r="B739" s="71" t="s">
        <v>5761</v>
      </c>
      <c r="C739" s="76">
        <v>465</v>
      </c>
      <c r="D739" s="72" t="s">
        <v>5796</v>
      </c>
      <c r="E739" s="73" t="s">
        <v>19</v>
      </c>
      <c r="F739" s="75">
        <v>42319</v>
      </c>
      <c r="G739" s="82">
        <f>129.19</f>
        <v>129.19</v>
      </c>
      <c r="H739" s="79"/>
      <c r="I739" s="79"/>
      <c r="J739" s="79"/>
      <c r="K739" s="79"/>
      <c r="L739" s="79"/>
      <c r="M739" s="79"/>
      <c r="N739" s="79"/>
      <c r="O739" s="79"/>
      <c r="P739" s="79"/>
      <c r="Q739" s="79">
        <f t="shared" si="33"/>
        <v>129.19</v>
      </c>
      <c r="R739" s="79">
        <f t="shared" si="34"/>
        <v>0</v>
      </c>
      <c r="S739" s="79">
        <f t="shared" si="35"/>
        <v>129.19</v>
      </c>
    </row>
    <row r="740" spans="1:19" x14ac:dyDescent="0.2">
      <c r="A740" s="102" t="s">
        <v>5728</v>
      </c>
      <c r="B740" s="71" t="s">
        <v>5762</v>
      </c>
      <c r="C740" s="76">
        <v>466</v>
      </c>
      <c r="D740" s="72" t="s">
        <v>5797</v>
      </c>
      <c r="E740" s="73" t="s">
        <v>19</v>
      </c>
      <c r="F740" s="75">
        <v>42319</v>
      </c>
      <c r="G740" s="82">
        <f>120.69</f>
        <v>120.69</v>
      </c>
      <c r="H740" s="79"/>
      <c r="I740" s="79"/>
      <c r="J740" s="79"/>
      <c r="K740" s="79"/>
      <c r="L740" s="79"/>
      <c r="M740" s="79"/>
      <c r="N740" s="79"/>
      <c r="O740" s="79"/>
      <c r="P740" s="79"/>
      <c r="Q740" s="79">
        <f t="shared" si="33"/>
        <v>120.69</v>
      </c>
      <c r="R740" s="79">
        <f t="shared" si="34"/>
        <v>0</v>
      </c>
      <c r="S740" s="79">
        <f t="shared" si="35"/>
        <v>120.69</v>
      </c>
    </row>
    <row r="741" spans="1:19" x14ac:dyDescent="0.2">
      <c r="A741" s="102" t="s">
        <v>5728</v>
      </c>
      <c r="B741" s="71" t="s">
        <v>5762</v>
      </c>
      <c r="C741" s="76">
        <v>466</v>
      </c>
      <c r="D741" s="72" t="s">
        <v>5798</v>
      </c>
      <c r="E741" s="73" t="s">
        <v>19</v>
      </c>
      <c r="F741" s="75">
        <v>42319</v>
      </c>
      <c r="G741" s="82">
        <f>137</f>
        <v>137</v>
      </c>
      <c r="H741" s="79"/>
      <c r="I741" s="79"/>
      <c r="J741" s="79"/>
      <c r="K741" s="79"/>
      <c r="L741" s="79"/>
      <c r="M741" s="79"/>
      <c r="N741" s="79"/>
      <c r="O741" s="79"/>
      <c r="P741" s="79"/>
      <c r="Q741" s="79">
        <f t="shared" si="33"/>
        <v>137</v>
      </c>
      <c r="R741" s="79">
        <f t="shared" si="34"/>
        <v>0</v>
      </c>
      <c r="S741" s="79">
        <f t="shared" si="35"/>
        <v>137</v>
      </c>
    </row>
    <row r="742" spans="1:19" x14ac:dyDescent="0.2">
      <c r="A742" s="102" t="s">
        <v>5729</v>
      </c>
      <c r="B742" s="71" t="s">
        <v>5763</v>
      </c>
      <c r="C742" s="76">
        <v>467</v>
      </c>
      <c r="D742" s="72" t="s">
        <v>5799</v>
      </c>
      <c r="E742" s="73" t="s">
        <v>19</v>
      </c>
      <c r="F742" s="75">
        <v>42321</v>
      </c>
      <c r="G742" s="82">
        <f>287.9</f>
        <v>287.89999999999998</v>
      </c>
      <c r="H742" s="79"/>
      <c r="I742" s="79"/>
      <c r="J742" s="79"/>
      <c r="K742" s="79"/>
      <c r="L742" s="79"/>
      <c r="M742" s="79"/>
      <c r="N742" s="79"/>
      <c r="O742" s="79"/>
      <c r="P742" s="79"/>
      <c r="Q742" s="79">
        <f t="shared" si="33"/>
        <v>287.89999999999998</v>
      </c>
      <c r="R742" s="79">
        <f t="shared" si="34"/>
        <v>0</v>
      </c>
      <c r="S742" s="79">
        <f t="shared" si="35"/>
        <v>287.89999999999998</v>
      </c>
    </row>
    <row r="743" spans="1:19" x14ac:dyDescent="0.2">
      <c r="A743" s="102" t="s">
        <v>5729</v>
      </c>
      <c r="B743" s="71" t="s">
        <v>5763</v>
      </c>
      <c r="C743" s="76">
        <v>467</v>
      </c>
      <c r="D743" s="72" t="s">
        <v>5800</v>
      </c>
      <c r="E743" s="73" t="s">
        <v>19</v>
      </c>
      <c r="F743" s="75">
        <v>42321</v>
      </c>
      <c r="G743" s="82">
        <f>287.9</f>
        <v>287.89999999999998</v>
      </c>
      <c r="H743" s="79"/>
      <c r="I743" s="79"/>
      <c r="J743" s="79"/>
      <c r="K743" s="79"/>
      <c r="L743" s="79"/>
      <c r="M743" s="79"/>
      <c r="N743" s="79"/>
      <c r="O743" s="79"/>
      <c r="P743" s="79"/>
      <c r="Q743" s="79">
        <f t="shared" si="33"/>
        <v>287.89999999999998</v>
      </c>
      <c r="R743" s="79">
        <f t="shared" si="34"/>
        <v>0</v>
      </c>
      <c r="S743" s="79">
        <f t="shared" si="35"/>
        <v>287.89999999999998</v>
      </c>
    </row>
    <row r="744" spans="1:19" x14ac:dyDescent="0.2">
      <c r="A744" s="102" t="s">
        <v>5729</v>
      </c>
      <c r="B744" s="71" t="s">
        <v>5763</v>
      </c>
      <c r="C744" s="76">
        <v>467</v>
      </c>
      <c r="D744" s="72" t="s">
        <v>5801</v>
      </c>
      <c r="E744" s="73" t="s">
        <v>19</v>
      </c>
      <c r="F744" s="75">
        <v>42321</v>
      </c>
      <c r="G744" s="82">
        <f>326.92</f>
        <v>326.92</v>
      </c>
      <c r="H744" s="79"/>
      <c r="I744" s="79"/>
      <c r="J744" s="79"/>
      <c r="K744" s="79"/>
      <c r="L744" s="79"/>
      <c r="M744" s="79"/>
      <c r="N744" s="79"/>
      <c r="O744" s="79"/>
      <c r="P744" s="79"/>
      <c r="Q744" s="79">
        <f t="shared" si="33"/>
        <v>326.92</v>
      </c>
      <c r="R744" s="79">
        <f t="shared" si="34"/>
        <v>0</v>
      </c>
      <c r="S744" s="79">
        <f t="shared" si="35"/>
        <v>326.92</v>
      </c>
    </row>
    <row r="745" spans="1:19" x14ac:dyDescent="0.2">
      <c r="A745" s="102" t="s">
        <v>5730</v>
      </c>
      <c r="B745" s="71" t="s">
        <v>5764</v>
      </c>
      <c r="C745" s="76">
        <v>468</v>
      </c>
      <c r="D745" s="73" t="s">
        <v>5802</v>
      </c>
      <c r="E745" s="73" t="s">
        <v>19</v>
      </c>
      <c r="F745" s="75">
        <v>42322</v>
      </c>
      <c r="G745" s="82">
        <f>85.97+185.52</f>
        <v>271.49</v>
      </c>
      <c r="H745" s="79"/>
      <c r="I745" s="79"/>
      <c r="J745" s="79"/>
      <c r="K745" s="79"/>
      <c r="L745" s="79"/>
      <c r="M745" s="79"/>
      <c r="N745" s="79"/>
      <c r="O745" s="79"/>
      <c r="P745" s="79"/>
      <c r="Q745" s="79">
        <f t="shared" si="33"/>
        <v>271.49</v>
      </c>
      <c r="R745" s="79">
        <f t="shared" si="34"/>
        <v>0</v>
      </c>
      <c r="S745" s="79">
        <f t="shared" si="35"/>
        <v>271.49</v>
      </c>
    </row>
    <row r="746" spans="1:19" x14ac:dyDescent="0.2">
      <c r="A746" s="102" t="s">
        <v>5730</v>
      </c>
      <c r="B746" s="71" t="s">
        <v>5764</v>
      </c>
      <c r="C746" s="76">
        <v>468</v>
      </c>
      <c r="D746" s="73" t="s">
        <v>5803</v>
      </c>
      <c r="E746" s="73" t="s">
        <v>19</v>
      </c>
      <c r="F746" s="75">
        <v>42322</v>
      </c>
      <c r="G746" s="82">
        <f>427.08</f>
        <v>427.08</v>
      </c>
      <c r="H746" s="79"/>
      <c r="I746" s="79"/>
      <c r="J746" s="79"/>
      <c r="K746" s="79"/>
      <c r="L746" s="79"/>
      <c r="M746" s="79"/>
      <c r="N746" s="79"/>
      <c r="O746" s="79"/>
      <c r="P746" s="79"/>
      <c r="Q746" s="79">
        <f t="shared" si="33"/>
        <v>427.08</v>
      </c>
      <c r="R746" s="79">
        <f t="shared" si="34"/>
        <v>0</v>
      </c>
      <c r="S746" s="79">
        <f t="shared" si="35"/>
        <v>427.08</v>
      </c>
    </row>
    <row r="747" spans="1:19" x14ac:dyDescent="0.2">
      <c r="A747" s="102" t="s">
        <v>5731</v>
      </c>
      <c r="B747" s="71" t="s">
        <v>5765</v>
      </c>
      <c r="C747" s="76">
        <v>469</v>
      </c>
      <c r="D747" s="72" t="s">
        <v>5804</v>
      </c>
      <c r="E747" s="73" t="s">
        <v>19</v>
      </c>
      <c r="F747" s="75">
        <v>42323</v>
      </c>
      <c r="G747" s="82">
        <f>156</f>
        <v>156</v>
      </c>
      <c r="H747" s="79"/>
      <c r="I747" s="79"/>
      <c r="J747" s="79"/>
      <c r="K747" s="79"/>
      <c r="L747" s="79"/>
      <c r="M747" s="79"/>
      <c r="N747" s="79"/>
      <c r="O747" s="79"/>
      <c r="P747" s="79"/>
      <c r="Q747" s="79">
        <f t="shared" si="33"/>
        <v>156</v>
      </c>
      <c r="R747" s="79">
        <f t="shared" si="34"/>
        <v>0</v>
      </c>
      <c r="S747" s="79">
        <f t="shared" si="35"/>
        <v>156</v>
      </c>
    </row>
    <row r="748" spans="1:19" x14ac:dyDescent="0.2">
      <c r="A748" s="102" t="s">
        <v>5731</v>
      </c>
      <c r="B748" s="71" t="s">
        <v>5765</v>
      </c>
      <c r="C748" s="76">
        <v>469</v>
      </c>
      <c r="D748" s="72" t="s">
        <v>5805</v>
      </c>
      <c r="E748" s="73"/>
      <c r="F748" s="75">
        <v>42323</v>
      </c>
      <c r="G748" s="82">
        <f>183</f>
        <v>183</v>
      </c>
      <c r="H748" s="79"/>
      <c r="I748" s="79"/>
      <c r="J748" s="79"/>
      <c r="K748" s="79"/>
      <c r="L748" s="79"/>
      <c r="M748" s="79"/>
      <c r="N748" s="79"/>
      <c r="O748" s="79"/>
      <c r="P748" s="79"/>
      <c r="Q748" s="79">
        <f t="shared" si="33"/>
        <v>183</v>
      </c>
      <c r="R748" s="79">
        <f t="shared" si="34"/>
        <v>0</v>
      </c>
      <c r="S748" s="79">
        <f t="shared" si="35"/>
        <v>183</v>
      </c>
    </row>
    <row r="749" spans="1:19" x14ac:dyDescent="0.2">
      <c r="A749" s="102" t="s">
        <v>5732</v>
      </c>
      <c r="B749" s="71" t="s">
        <v>5766</v>
      </c>
      <c r="C749" s="76">
        <v>470</v>
      </c>
      <c r="D749" s="72" t="s">
        <v>5806</v>
      </c>
      <c r="E749" s="73" t="s">
        <v>19</v>
      </c>
      <c r="F749" s="75">
        <v>42323</v>
      </c>
      <c r="G749" s="82">
        <f>98</f>
        <v>98</v>
      </c>
      <c r="H749" s="79"/>
      <c r="I749" s="79"/>
      <c r="J749" s="79"/>
      <c r="K749" s="79"/>
      <c r="L749" s="79"/>
      <c r="M749" s="79"/>
      <c r="N749" s="79"/>
      <c r="O749" s="79"/>
      <c r="P749" s="79"/>
      <c r="Q749" s="79">
        <f t="shared" si="33"/>
        <v>98</v>
      </c>
      <c r="R749" s="79">
        <f t="shared" si="34"/>
        <v>0</v>
      </c>
      <c r="S749" s="79">
        <f t="shared" si="35"/>
        <v>98</v>
      </c>
    </row>
    <row r="750" spans="1:19" x14ac:dyDescent="0.2">
      <c r="A750" s="102" t="s">
        <v>5733</v>
      </c>
      <c r="B750" s="71" t="s">
        <v>5767</v>
      </c>
      <c r="C750" s="76">
        <v>471</v>
      </c>
      <c r="D750" s="72" t="s">
        <v>5807</v>
      </c>
      <c r="E750" s="73" t="s">
        <v>19</v>
      </c>
      <c r="F750" s="75">
        <v>42324</v>
      </c>
      <c r="G750" s="82"/>
      <c r="H750" s="79"/>
      <c r="I750" s="79"/>
      <c r="J750" s="79"/>
      <c r="K750" s="79"/>
      <c r="L750" s="79"/>
      <c r="M750" s="79"/>
      <c r="N750" s="79"/>
      <c r="O750" s="79"/>
      <c r="P750" s="79"/>
      <c r="Q750" s="79">
        <f t="shared" si="33"/>
        <v>0</v>
      </c>
      <c r="R750" s="79">
        <f t="shared" si="34"/>
        <v>0</v>
      </c>
      <c r="S750" s="79">
        <f t="shared" si="35"/>
        <v>0</v>
      </c>
    </row>
    <row r="751" spans="1:19" ht="12" customHeight="1" x14ac:dyDescent="0.2">
      <c r="A751" s="102" t="s">
        <v>5734</v>
      </c>
      <c r="B751" s="71" t="s">
        <v>5768</v>
      </c>
      <c r="C751" s="76">
        <v>472</v>
      </c>
      <c r="D751" s="72" t="s">
        <v>5808</v>
      </c>
      <c r="E751" s="73" t="s">
        <v>4064</v>
      </c>
      <c r="F751" s="75">
        <v>42320</v>
      </c>
      <c r="G751" s="82">
        <f>509.5+148</f>
        <v>657.5</v>
      </c>
      <c r="H751" s="79"/>
      <c r="I751" s="79">
        <v>300</v>
      </c>
      <c r="J751" s="79"/>
      <c r="K751" s="79"/>
      <c r="L751" s="79"/>
      <c r="M751" s="79"/>
      <c r="N751" s="79"/>
      <c r="O751" s="79"/>
      <c r="P751" s="79"/>
      <c r="Q751" s="79">
        <f t="shared" si="33"/>
        <v>957.5</v>
      </c>
      <c r="R751" s="79">
        <f t="shared" si="34"/>
        <v>0</v>
      </c>
      <c r="S751" s="79">
        <f t="shared" si="35"/>
        <v>957.5</v>
      </c>
    </row>
    <row r="752" spans="1:19" x14ac:dyDescent="0.2">
      <c r="A752" s="150" t="s">
        <v>5735</v>
      </c>
      <c r="B752" s="151" t="s">
        <v>5769</v>
      </c>
      <c r="C752" s="106">
        <v>473</v>
      </c>
      <c r="D752" s="107" t="s">
        <v>5809</v>
      </c>
      <c r="E752" s="73" t="s">
        <v>19</v>
      </c>
      <c r="F752" s="148">
        <v>42324</v>
      </c>
      <c r="G752" s="82">
        <f>189.39</f>
        <v>189.39</v>
      </c>
      <c r="H752" s="79"/>
      <c r="I752" s="79"/>
      <c r="J752" s="79"/>
      <c r="K752" s="79"/>
      <c r="L752" s="79"/>
      <c r="M752" s="79"/>
      <c r="N752" s="79"/>
      <c r="O752" s="79"/>
      <c r="P752" s="79"/>
      <c r="Q752" s="79">
        <f t="shared" si="33"/>
        <v>189.39</v>
      </c>
      <c r="R752" s="79">
        <f t="shared" si="34"/>
        <v>0</v>
      </c>
      <c r="S752" s="79">
        <f t="shared" si="35"/>
        <v>189.39</v>
      </c>
    </row>
    <row r="753" spans="1:19" x14ac:dyDescent="0.2">
      <c r="A753" s="150" t="s">
        <v>5735</v>
      </c>
      <c r="B753" s="151" t="s">
        <v>5769</v>
      </c>
      <c r="C753" s="106">
        <v>473</v>
      </c>
      <c r="D753" s="72" t="s">
        <v>5810</v>
      </c>
      <c r="E753" s="73" t="s">
        <v>19</v>
      </c>
      <c r="F753" s="148">
        <v>42324</v>
      </c>
      <c r="G753" s="82">
        <f>164.55</f>
        <v>164.55</v>
      </c>
      <c r="H753" s="79"/>
      <c r="I753" s="79"/>
      <c r="J753" s="79"/>
      <c r="K753" s="79"/>
      <c r="L753" s="79"/>
      <c r="M753" s="79"/>
      <c r="N753" s="79"/>
      <c r="O753" s="79"/>
      <c r="P753" s="79"/>
      <c r="Q753" s="79">
        <f t="shared" si="33"/>
        <v>164.55</v>
      </c>
      <c r="R753" s="79">
        <f t="shared" si="34"/>
        <v>0</v>
      </c>
      <c r="S753" s="79">
        <f t="shared" si="35"/>
        <v>164.55</v>
      </c>
    </row>
    <row r="754" spans="1:19" x14ac:dyDescent="0.2">
      <c r="A754" s="102" t="s">
        <v>5736</v>
      </c>
      <c r="B754" s="71" t="s">
        <v>5770</v>
      </c>
      <c r="C754" s="76">
        <v>474</v>
      </c>
      <c r="D754" s="72" t="s">
        <v>5811</v>
      </c>
      <c r="E754" s="73" t="s">
        <v>4064</v>
      </c>
      <c r="F754" s="75">
        <v>42325</v>
      </c>
      <c r="G754" s="82">
        <f>427</f>
        <v>427</v>
      </c>
      <c r="H754" s="79"/>
      <c r="I754" s="79"/>
      <c r="J754" s="79"/>
      <c r="K754" s="79"/>
      <c r="L754" s="79"/>
      <c r="M754" s="79"/>
      <c r="N754" s="79"/>
      <c r="O754" s="79"/>
      <c r="P754" s="79"/>
      <c r="Q754" s="79">
        <f t="shared" si="33"/>
        <v>427</v>
      </c>
      <c r="R754" s="79">
        <f t="shared" si="34"/>
        <v>0</v>
      </c>
      <c r="S754" s="79">
        <f t="shared" si="35"/>
        <v>427</v>
      </c>
    </row>
    <row r="755" spans="1:19" x14ac:dyDescent="0.2">
      <c r="A755" s="102" t="s">
        <v>5737</v>
      </c>
      <c r="B755" s="71" t="s">
        <v>5771</v>
      </c>
      <c r="C755" s="76">
        <v>475</v>
      </c>
      <c r="D755" s="72" t="s">
        <v>5812</v>
      </c>
      <c r="E755" s="73" t="s">
        <v>19</v>
      </c>
      <c r="F755" s="75">
        <v>42325</v>
      </c>
      <c r="G755" s="82">
        <f>43.7+250.4+39.1</f>
        <v>333.20000000000005</v>
      </c>
      <c r="H755" s="79"/>
      <c r="I755" s="79"/>
      <c r="J755" s="79"/>
      <c r="K755" s="79"/>
      <c r="L755" s="79"/>
      <c r="M755" s="79"/>
      <c r="N755" s="79"/>
      <c r="O755" s="79"/>
      <c r="P755" s="79"/>
      <c r="Q755" s="79">
        <f t="shared" si="33"/>
        <v>333.20000000000005</v>
      </c>
      <c r="R755" s="79">
        <f t="shared" si="34"/>
        <v>0</v>
      </c>
      <c r="S755" s="79">
        <f t="shared" si="35"/>
        <v>333.20000000000005</v>
      </c>
    </row>
    <row r="756" spans="1:19" x14ac:dyDescent="0.2">
      <c r="A756" s="102" t="s">
        <v>5738</v>
      </c>
      <c r="B756" s="71" t="s">
        <v>5772</v>
      </c>
      <c r="C756" s="76">
        <v>476</v>
      </c>
      <c r="D756" s="72" t="s">
        <v>5813</v>
      </c>
      <c r="E756" s="73" t="s">
        <v>4064</v>
      </c>
      <c r="F756" s="75">
        <v>42327</v>
      </c>
      <c r="G756" s="82">
        <f>244</f>
        <v>244</v>
      </c>
      <c r="H756" s="79"/>
      <c r="I756" s="79"/>
      <c r="J756" s="79"/>
      <c r="K756" s="79"/>
      <c r="L756" s="79"/>
      <c r="M756" s="79"/>
      <c r="N756" s="79"/>
      <c r="O756" s="79"/>
      <c r="P756" s="79"/>
      <c r="Q756" s="79">
        <f t="shared" si="33"/>
        <v>244</v>
      </c>
      <c r="R756" s="79">
        <f t="shared" si="34"/>
        <v>0</v>
      </c>
      <c r="S756" s="79">
        <f t="shared" si="35"/>
        <v>244</v>
      </c>
    </row>
    <row r="757" spans="1:19" x14ac:dyDescent="0.2">
      <c r="A757" s="102" t="s">
        <v>5739</v>
      </c>
      <c r="B757" s="71" t="s">
        <v>5773</v>
      </c>
      <c r="C757" s="76">
        <v>477</v>
      </c>
      <c r="D757" s="73" t="s">
        <v>5814</v>
      </c>
      <c r="E757" s="73" t="s">
        <v>19</v>
      </c>
      <c r="F757" s="75">
        <v>42327</v>
      </c>
      <c r="G757" s="82">
        <f>238+328+180+291.3+290.9</f>
        <v>1328.1999999999998</v>
      </c>
      <c r="H757" s="79"/>
      <c r="I757" s="79">
        <f>595</f>
        <v>595</v>
      </c>
      <c r="J757" s="79"/>
      <c r="K757" s="79"/>
      <c r="L757" s="79"/>
      <c r="M757" s="79"/>
      <c r="N757" s="79"/>
      <c r="O757" s="79"/>
      <c r="P757" s="79"/>
      <c r="Q757" s="79">
        <f t="shared" si="33"/>
        <v>1923.1999999999998</v>
      </c>
      <c r="R757" s="79">
        <f t="shared" si="34"/>
        <v>0</v>
      </c>
      <c r="S757" s="79">
        <f t="shared" si="35"/>
        <v>1923.1999999999998</v>
      </c>
    </row>
    <row r="758" spans="1:19" x14ac:dyDescent="0.2">
      <c r="A758" s="102" t="s">
        <v>5740</v>
      </c>
      <c r="B758" s="71" t="s">
        <v>5774</v>
      </c>
      <c r="C758" s="76">
        <v>478</v>
      </c>
      <c r="D758" s="72" t="s">
        <v>5815</v>
      </c>
      <c r="E758" s="73" t="s">
        <v>19</v>
      </c>
      <c r="F758" s="75">
        <v>42327</v>
      </c>
      <c r="G758" s="82">
        <f>41.3+1031.01+41.3</f>
        <v>1113.6099999999999</v>
      </c>
      <c r="H758" s="79"/>
      <c r="I758" s="79"/>
      <c r="J758" s="79"/>
      <c r="K758" s="79"/>
      <c r="L758" s="79"/>
      <c r="M758" s="79"/>
      <c r="N758" s="79"/>
      <c r="O758" s="79"/>
      <c r="P758" s="79"/>
      <c r="Q758" s="79">
        <f t="shared" si="33"/>
        <v>1113.6099999999999</v>
      </c>
      <c r="R758" s="79">
        <f t="shared" si="34"/>
        <v>0</v>
      </c>
      <c r="S758" s="79">
        <f t="shared" si="35"/>
        <v>1113.6099999999999</v>
      </c>
    </row>
    <row r="759" spans="1:19" x14ac:dyDescent="0.2">
      <c r="A759" s="102" t="s">
        <v>5741</v>
      </c>
      <c r="B759" s="71" t="s">
        <v>5775</v>
      </c>
      <c r="C759" s="76">
        <v>479</v>
      </c>
      <c r="D759" s="72" t="s">
        <v>5816</v>
      </c>
      <c r="E759" s="73" t="s">
        <v>19</v>
      </c>
      <c r="F759" s="75">
        <v>42331</v>
      </c>
      <c r="G759" s="82">
        <f>118</f>
        <v>118</v>
      </c>
      <c r="H759" s="79"/>
      <c r="I759" s="79"/>
      <c r="J759" s="79"/>
      <c r="K759" s="79"/>
      <c r="L759" s="79"/>
      <c r="M759" s="79"/>
      <c r="N759" s="79"/>
      <c r="O759" s="79"/>
      <c r="P759" s="79"/>
      <c r="Q759" s="79">
        <f t="shared" si="33"/>
        <v>118</v>
      </c>
      <c r="R759" s="79">
        <f t="shared" si="34"/>
        <v>0</v>
      </c>
      <c r="S759" s="79">
        <f t="shared" si="35"/>
        <v>118</v>
      </c>
    </row>
    <row r="760" spans="1:19" x14ac:dyDescent="0.2">
      <c r="A760" s="102" t="s">
        <v>5741</v>
      </c>
      <c r="B760" s="71" t="s">
        <v>5775</v>
      </c>
      <c r="C760" s="76">
        <v>479</v>
      </c>
      <c r="D760" s="72" t="s">
        <v>5817</v>
      </c>
      <c r="E760" s="73" t="s">
        <v>19</v>
      </c>
      <c r="F760" s="75">
        <v>42331</v>
      </c>
      <c r="G760" s="82">
        <f>347</f>
        <v>347</v>
      </c>
      <c r="H760" s="79"/>
      <c r="I760" s="79"/>
      <c r="J760" s="79"/>
      <c r="K760" s="79"/>
      <c r="L760" s="79"/>
      <c r="M760" s="79"/>
      <c r="N760" s="79"/>
      <c r="O760" s="79"/>
      <c r="P760" s="79"/>
      <c r="Q760" s="79">
        <f t="shared" si="33"/>
        <v>347</v>
      </c>
      <c r="R760" s="79">
        <f t="shared" si="34"/>
        <v>0</v>
      </c>
      <c r="S760" s="79">
        <f t="shared" si="35"/>
        <v>347</v>
      </c>
    </row>
    <row r="761" spans="1:19" x14ac:dyDescent="0.2">
      <c r="A761" s="102" t="s">
        <v>5742</v>
      </c>
      <c r="B761" s="71" t="s">
        <v>5776</v>
      </c>
      <c r="C761" s="76">
        <v>480</v>
      </c>
      <c r="D761" s="72" t="s">
        <v>5818</v>
      </c>
      <c r="E761" s="73" t="s">
        <v>19</v>
      </c>
      <c r="F761" s="75">
        <v>42331</v>
      </c>
      <c r="G761" s="82">
        <f>41.3+2654.85</f>
        <v>2696.15</v>
      </c>
      <c r="H761" s="79"/>
      <c r="I761" s="79"/>
      <c r="J761" s="79"/>
      <c r="K761" s="79"/>
      <c r="L761" s="79"/>
      <c r="M761" s="79"/>
      <c r="N761" s="79"/>
      <c r="O761" s="79"/>
      <c r="P761" s="79"/>
      <c r="Q761" s="79">
        <f t="shared" si="33"/>
        <v>2696.15</v>
      </c>
      <c r="R761" s="79">
        <f t="shared" si="34"/>
        <v>0</v>
      </c>
      <c r="S761" s="79">
        <f t="shared" si="35"/>
        <v>2696.15</v>
      </c>
    </row>
    <row r="762" spans="1:19" x14ac:dyDescent="0.2">
      <c r="A762" s="102" t="s">
        <v>5743</v>
      </c>
      <c r="B762" s="71" t="s">
        <v>5777</v>
      </c>
      <c r="C762" s="76">
        <v>481</v>
      </c>
      <c r="D762" s="72" t="s">
        <v>5819</v>
      </c>
      <c r="E762" s="73" t="s">
        <v>19</v>
      </c>
      <c r="F762" s="75">
        <v>42332</v>
      </c>
      <c r="G762" s="82">
        <f>166.14</f>
        <v>166.14</v>
      </c>
      <c r="H762" s="79"/>
      <c r="I762" s="79"/>
      <c r="J762" s="79"/>
      <c r="K762" s="79"/>
      <c r="L762" s="79"/>
      <c r="M762" s="79"/>
      <c r="N762" s="79"/>
      <c r="O762" s="79"/>
      <c r="P762" s="79"/>
      <c r="Q762" s="79">
        <f t="shared" si="33"/>
        <v>166.14</v>
      </c>
      <c r="R762" s="79">
        <f t="shared" si="34"/>
        <v>0</v>
      </c>
      <c r="S762" s="79">
        <f t="shared" si="35"/>
        <v>166.14</v>
      </c>
    </row>
    <row r="763" spans="1:19" x14ac:dyDescent="0.2">
      <c r="A763" s="102" t="s">
        <v>5744</v>
      </c>
      <c r="B763" s="71" t="s">
        <v>5778</v>
      </c>
      <c r="C763" s="76">
        <v>482</v>
      </c>
      <c r="D763" s="72" t="s">
        <v>5820</v>
      </c>
      <c r="E763" s="73" t="s">
        <v>19</v>
      </c>
      <c r="F763" s="75">
        <v>42333</v>
      </c>
      <c r="G763" s="82">
        <f>40</f>
        <v>40</v>
      </c>
      <c r="H763" s="79"/>
      <c r="I763" s="79"/>
      <c r="J763" s="79"/>
      <c r="K763" s="79"/>
      <c r="L763" s="79"/>
      <c r="M763" s="79"/>
      <c r="N763" s="79"/>
      <c r="O763" s="79"/>
      <c r="P763" s="79"/>
      <c r="Q763" s="79">
        <f t="shared" si="33"/>
        <v>40</v>
      </c>
      <c r="R763" s="79">
        <f t="shared" si="34"/>
        <v>0</v>
      </c>
      <c r="S763" s="79">
        <f t="shared" si="35"/>
        <v>40</v>
      </c>
    </row>
    <row r="764" spans="1:19" x14ac:dyDescent="0.2">
      <c r="A764" s="102" t="s">
        <v>5745</v>
      </c>
      <c r="B764" s="71" t="s">
        <v>5779</v>
      </c>
      <c r="C764" s="76">
        <v>483</v>
      </c>
      <c r="D764" s="72" t="s">
        <v>5821</v>
      </c>
      <c r="E764" s="73" t="s">
        <v>19</v>
      </c>
      <c r="F764" s="75">
        <v>42333</v>
      </c>
      <c r="G764" s="82">
        <f>113</f>
        <v>113</v>
      </c>
      <c r="H764" s="79"/>
      <c r="I764" s="79"/>
      <c r="J764" s="79"/>
      <c r="K764" s="79"/>
      <c r="L764" s="79"/>
      <c r="M764" s="79"/>
      <c r="N764" s="79"/>
      <c r="O764" s="79"/>
      <c r="P764" s="79"/>
      <c r="Q764" s="79">
        <f t="shared" si="33"/>
        <v>113</v>
      </c>
      <c r="R764" s="79">
        <f t="shared" si="34"/>
        <v>0</v>
      </c>
      <c r="S764" s="79">
        <f t="shared" si="35"/>
        <v>113</v>
      </c>
    </row>
    <row r="765" spans="1:19" x14ac:dyDescent="0.2">
      <c r="A765" s="102" t="s">
        <v>5745</v>
      </c>
      <c r="B765" s="71" t="s">
        <v>5779</v>
      </c>
      <c r="C765" s="76">
        <v>483</v>
      </c>
      <c r="D765" s="72" t="s">
        <v>5822</v>
      </c>
      <c r="E765" s="73" t="s">
        <v>19</v>
      </c>
      <c r="F765" s="75">
        <v>42333</v>
      </c>
      <c r="G765" s="82">
        <f>48.5</f>
        <v>48.5</v>
      </c>
      <c r="H765" s="79"/>
      <c r="I765" s="79"/>
      <c r="J765" s="79"/>
      <c r="K765" s="79"/>
      <c r="L765" s="79"/>
      <c r="M765" s="79"/>
      <c r="N765" s="79"/>
      <c r="O765" s="79"/>
      <c r="P765" s="79"/>
      <c r="Q765" s="79">
        <f t="shared" si="33"/>
        <v>48.5</v>
      </c>
      <c r="R765" s="79">
        <f t="shared" si="34"/>
        <v>0</v>
      </c>
      <c r="S765" s="79">
        <f t="shared" si="35"/>
        <v>48.5</v>
      </c>
    </row>
    <row r="766" spans="1:19" x14ac:dyDescent="0.2">
      <c r="A766" s="102" t="s">
        <v>5746</v>
      </c>
      <c r="B766" s="71" t="s">
        <v>5780</v>
      </c>
      <c r="C766" s="76">
        <v>484</v>
      </c>
      <c r="D766" s="72" t="s">
        <v>5823</v>
      </c>
      <c r="E766" s="73" t="s">
        <v>19</v>
      </c>
      <c r="F766" s="75">
        <v>42334</v>
      </c>
      <c r="G766" s="82">
        <f>113.22</f>
        <v>113.22</v>
      </c>
      <c r="H766" s="79"/>
      <c r="I766" s="79"/>
      <c r="J766" s="79"/>
      <c r="K766" s="79"/>
      <c r="L766" s="79"/>
      <c r="M766" s="79"/>
      <c r="N766" s="79"/>
      <c r="O766" s="79"/>
      <c r="P766" s="79"/>
      <c r="Q766" s="79">
        <f t="shared" si="33"/>
        <v>113.22</v>
      </c>
      <c r="R766" s="79">
        <f t="shared" si="34"/>
        <v>0</v>
      </c>
      <c r="S766" s="79">
        <f t="shared" si="35"/>
        <v>113.22</v>
      </c>
    </row>
    <row r="767" spans="1:19" x14ac:dyDescent="0.2">
      <c r="A767" s="102" t="s">
        <v>5747</v>
      </c>
      <c r="B767" s="71" t="s">
        <v>5781</v>
      </c>
      <c r="C767" s="76">
        <v>485</v>
      </c>
      <c r="D767" s="72" t="s">
        <v>5824</v>
      </c>
      <c r="E767" s="73" t="s">
        <v>19</v>
      </c>
      <c r="F767" s="75">
        <v>42335</v>
      </c>
      <c r="G767" s="82">
        <f>1063.98+615.43</f>
        <v>1679.4099999999999</v>
      </c>
      <c r="H767" s="79"/>
      <c r="I767" s="79"/>
      <c r="J767" s="79"/>
      <c r="K767" s="79"/>
      <c r="L767" s="79"/>
      <c r="M767" s="79"/>
      <c r="N767" s="79"/>
      <c r="O767" s="79"/>
      <c r="P767" s="79"/>
      <c r="Q767" s="79">
        <f t="shared" si="33"/>
        <v>1679.4099999999999</v>
      </c>
      <c r="R767" s="79">
        <f t="shared" si="34"/>
        <v>0</v>
      </c>
      <c r="S767" s="79">
        <f t="shared" si="35"/>
        <v>1679.4099999999999</v>
      </c>
    </row>
    <row r="768" spans="1:19" x14ac:dyDescent="0.2">
      <c r="A768" s="102" t="s">
        <v>5747</v>
      </c>
      <c r="B768" s="71" t="s">
        <v>5781</v>
      </c>
      <c r="C768" s="76">
        <v>485</v>
      </c>
      <c r="D768" s="72" t="s">
        <v>5825</v>
      </c>
      <c r="E768" s="73" t="s">
        <v>19</v>
      </c>
      <c r="F768" s="75">
        <v>42335</v>
      </c>
      <c r="G768" s="82">
        <f>164.79</f>
        <v>164.79</v>
      </c>
      <c r="H768" s="79"/>
      <c r="I768" s="79"/>
      <c r="J768" s="79"/>
      <c r="K768" s="79"/>
      <c r="L768" s="79"/>
      <c r="M768" s="79"/>
      <c r="N768" s="79"/>
      <c r="O768" s="79"/>
      <c r="P768" s="79"/>
      <c r="Q768" s="79">
        <f t="shared" si="33"/>
        <v>164.79</v>
      </c>
      <c r="R768" s="79">
        <f t="shared" si="34"/>
        <v>0</v>
      </c>
      <c r="S768" s="79">
        <f t="shared" si="35"/>
        <v>164.79</v>
      </c>
    </row>
    <row r="769" spans="1:19" x14ac:dyDescent="0.2">
      <c r="A769" s="102" t="s">
        <v>5747</v>
      </c>
      <c r="B769" s="71" t="s">
        <v>5781</v>
      </c>
      <c r="C769" s="76">
        <v>485</v>
      </c>
      <c r="D769" s="72" t="s">
        <v>5826</v>
      </c>
      <c r="E769" s="73" t="s">
        <v>19</v>
      </c>
      <c r="F769" s="75">
        <v>42335</v>
      </c>
      <c r="G769" s="82">
        <f>100.21</f>
        <v>100.21</v>
      </c>
      <c r="H769" s="79"/>
      <c r="I769" s="79"/>
      <c r="J769" s="79"/>
      <c r="K769" s="79"/>
      <c r="L769" s="79"/>
      <c r="M769" s="79"/>
      <c r="N769" s="79"/>
      <c r="O769" s="79"/>
      <c r="P769" s="79"/>
      <c r="Q769" s="79">
        <f t="shared" si="33"/>
        <v>100.21</v>
      </c>
      <c r="R769" s="79">
        <f t="shared" si="34"/>
        <v>0</v>
      </c>
      <c r="S769" s="79">
        <f t="shared" si="35"/>
        <v>100.21</v>
      </c>
    </row>
    <row r="770" spans="1:19" x14ac:dyDescent="0.2">
      <c r="A770" s="102" t="s">
        <v>5748</v>
      </c>
      <c r="B770" s="71" t="s">
        <v>5782</v>
      </c>
      <c r="C770" s="76">
        <v>486</v>
      </c>
      <c r="D770" s="72" t="s">
        <v>5827</v>
      </c>
      <c r="E770" s="73" t="s">
        <v>19</v>
      </c>
      <c r="F770" s="75">
        <v>42335</v>
      </c>
      <c r="G770" s="82">
        <f>122.96</f>
        <v>122.96</v>
      </c>
      <c r="H770" s="79"/>
      <c r="I770" s="79"/>
      <c r="J770" s="79"/>
      <c r="K770" s="79"/>
      <c r="L770" s="79"/>
      <c r="M770" s="79"/>
      <c r="N770" s="79"/>
      <c r="O770" s="79"/>
      <c r="P770" s="79"/>
      <c r="Q770" s="79">
        <f t="shared" si="33"/>
        <v>122.96</v>
      </c>
      <c r="R770" s="79">
        <f t="shared" si="34"/>
        <v>0</v>
      </c>
      <c r="S770" s="79">
        <f t="shared" si="35"/>
        <v>122.96</v>
      </c>
    </row>
    <row r="771" spans="1:19" x14ac:dyDescent="0.2">
      <c r="A771" s="102" t="s">
        <v>5749</v>
      </c>
      <c r="B771" s="71" t="s">
        <v>5783</v>
      </c>
      <c r="C771" s="76">
        <v>487</v>
      </c>
      <c r="D771" s="72" t="s">
        <v>5828</v>
      </c>
      <c r="E771" s="73" t="s">
        <v>19</v>
      </c>
      <c r="F771" s="75">
        <v>42335</v>
      </c>
      <c r="G771" s="82">
        <f>35+498.2+35</f>
        <v>568.20000000000005</v>
      </c>
      <c r="H771" s="79"/>
      <c r="I771" s="79"/>
      <c r="J771" s="79"/>
      <c r="K771" s="79"/>
      <c r="L771" s="79"/>
      <c r="M771" s="79"/>
      <c r="N771" s="79"/>
      <c r="O771" s="79"/>
      <c r="P771" s="79"/>
      <c r="Q771" s="79">
        <f t="shared" si="33"/>
        <v>568.20000000000005</v>
      </c>
      <c r="R771" s="79">
        <f t="shared" si="34"/>
        <v>0</v>
      </c>
      <c r="S771" s="79">
        <f t="shared" si="35"/>
        <v>568.20000000000005</v>
      </c>
    </row>
    <row r="772" spans="1:19" x14ac:dyDescent="0.2">
      <c r="A772" s="102" t="s">
        <v>5750</v>
      </c>
      <c r="B772" s="71" t="s">
        <v>5784</v>
      </c>
      <c r="C772" s="76">
        <v>488</v>
      </c>
      <c r="D772" s="72" t="s">
        <v>5829</v>
      </c>
      <c r="E772" s="73" t="s">
        <v>19</v>
      </c>
      <c r="F772" s="75">
        <v>42336</v>
      </c>
      <c r="G772" s="82">
        <f>47.3</f>
        <v>47.3</v>
      </c>
      <c r="H772" s="79"/>
      <c r="I772" s="79"/>
      <c r="J772" s="79"/>
      <c r="K772" s="79"/>
      <c r="L772" s="79"/>
      <c r="M772" s="79"/>
      <c r="N772" s="79"/>
      <c r="O772" s="79"/>
      <c r="P772" s="79"/>
      <c r="Q772" s="79">
        <f t="shared" si="33"/>
        <v>47.3</v>
      </c>
      <c r="R772" s="79">
        <f t="shared" si="34"/>
        <v>0</v>
      </c>
      <c r="S772" s="79">
        <f t="shared" si="35"/>
        <v>47.3</v>
      </c>
    </row>
    <row r="773" spans="1:19" x14ac:dyDescent="0.2">
      <c r="A773" s="102" t="s">
        <v>5751</v>
      </c>
      <c r="B773" s="71" t="s">
        <v>5785</v>
      </c>
      <c r="C773" s="76">
        <v>489</v>
      </c>
      <c r="D773" s="72" t="s">
        <v>5830</v>
      </c>
      <c r="E773" s="73" t="s">
        <v>19</v>
      </c>
      <c r="F773" s="75">
        <v>42335</v>
      </c>
      <c r="G773" s="82">
        <f>67.97+224.14+64.9</f>
        <v>357.01</v>
      </c>
      <c r="H773" s="79"/>
      <c r="I773" s="79">
        <v>775</v>
      </c>
      <c r="J773" s="79"/>
      <c r="K773" s="79"/>
      <c r="L773" s="79"/>
      <c r="M773" s="79"/>
      <c r="N773" s="79"/>
      <c r="O773" s="79"/>
      <c r="P773" s="79"/>
      <c r="Q773" s="79">
        <f t="shared" si="33"/>
        <v>1132.01</v>
      </c>
      <c r="R773" s="79">
        <f t="shared" si="34"/>
        <v>0</v>
      </c>
      <c r="S773" s="79">
        <f t="shared" si="35"/>
        <v>1132.01</v>
      </c>
    </row>
    <row r="774" spans="1:19" x14ac:dyDescent="0.2">
      <c r="A774" s="102" t="s">
        <v>5752</v>
      </c>
      <c r="B774" s="71" t="s">
        <v>5786</v>
      </c>
      <c r="C774" s="76">
        <v>490</v>
      </c>
      <c r="D774" s="72" t="s">
        <v>5831</v>
      </c>
      <c r="E774" s="73" t="s">
        <v>19</v>
      </c>
      <c r="F774" s="75">
        <v>42337</v>
      </c>
      <c r="G774" s="82">
        <f>9558.63+387.39+41.3+50.72+333.45+625.32+41.3+481.3+41.3+481.3</f>
        <v>12042.009999999995</v>
      </c>
      <c r="H774" s="79"/>
      <c r="I774" s="79">
        <f>750</f>
        <v>750</v>
      </c>
      <c r="J774" s="79"/>
      <c r="K774" s="79"/>
      <c r="L774" s="79"/>
      <c r="M774" s="79"/>
      <c r="N774" s="79"/>
      <c r="O774" s="79"/>
      <c r="P774" s="79"/>
      <c r="Q774" s="79">
        <f t="shared" si="33"/>
        <v>12792.009999999995</v>
      </c>
      <c r="R774" s="79">
        <f t="shared" si="34"/>
        <v>0</v>
      </c>
      <c r="S774" s="79">
        <f t="shared" si="35"/>
        <v>12792.009999999995</v>
      </c>
    </row>
    <row r="775" spans="1:19" x14ac:dyDescent="0.2">
      <c r="A775" s="102" t="s">
        <v>5753</v>
      </c>
      <c r="B775" s="71" t="s">
        <v>5787</v>
      </c>
      <c r="C775" s="76">
        <v>491</v>
      </c>
      <c r="D775" s="72" t="s">
        <v>5832</v>
      </c>
      <c r="E775" s="73" t="s">
        <v>19</v>
      </c>
      <c r="F775" s="75">
        <v>42337</v>
      </c>
      <c r="G775" s="82">
        <f>69.2+249.55+400</f>
        <v>718.75</v>
      </c>
      <c r="H775" s="79"/>
      <c r="I775" s="79">
        <v>450</v>
      </c>
      <c r="J775" s="79"/>
      <c r="K775" s="79"/>
      <c r="L775" s="79"/>
      <c r="M775" s="79"/>
      <c r="N775" s="79"/>
      <c r="O775" s="79"/>
      <c r="P775" s="79"/>
      <c r="Q775" s="79">
        <f t="shared" si="33"/>
        <v>1168.75</v>
      </c>
      <c r="R775" s="79">
        <f t="shared" si="34"/>
        <v>0</v>
      </c>
      <c r="S775" s="79">
        <f t="shared" si="35"/>
        <v>1168.75</v>
      </c>
    </row>
    <row r="776" spans="1:19" x14ac:dyDescent="0.2">
      <c r="A776" s="102" t="s">
        <v>5753</v>
      </c>
      <c r="B776" s="71" t="s">
        <v>5787</v>
      </c>
      <c r="C776" s="76">
        <v>491</v>
      </c>
      <c r="D776" s="72" t="s">
        <v>5833</v>
      </c>
      <c r="E776" s="73" t="s">
        <v>19</v>
      </c>
      <c r="F776" s="75">
        <v>42337</v>
      </c>
      <c r="G776" s="82">
        <f>48.6</f>
        <v>48.6</v>
      </c>
      <c r="H776" s="79"/>
      <c r="I776" s="79"/>
      <c r="J776" s="79"/>
      <c r="K776" s="79"/>
      <c r="L776" s="79"/>
      <c r="M776" s="79"/>
      <c r="N776" s="79"/>
      <c r="O776" s="79"/>
      <c r="P776" s="79"/>
      <c r="Q776" s="79">
        <f t="shared" ref="Q776:Q832" si="36">+G776+I776+K776+M776+O776</f>
        <v>48.6</v>
      </c>
      <c r="R776" s="79">
        <f t="shared" ref="R776:R832" si="37">+H776+J776+L776+N776+P776</f>
        <v>0</v>
      </c>
      <c r="S776" s="79">
        <f t="shared" ref="S776:S832" si="38">+Q776+R776</f>
        <v>48.6</v>
      </c>
    </row>
    <row r="777" spans="1:19" x14ac:dyDescent="0.2">
      <c r="A777" s="102" t="s">
        <v>5753</v>
      </c>
      <c r="B777" s="71" t="s">
        <v>5787</v>
      </c>
      <c r="C777" s="76">
        <v>491</v>
      </c>
      <c r="D777" s="72" t="s">
        <v>5843</v>
      </c>
      <c r="E777" s="73" t="s">
        <v>19</v>
      </c>
      <c r="F777" s="75">
        <v>42337</v>
      </c>
      <c r="G777" s="82">
        <f>889</f>
        <v>889</v>
      </c>
      <c r="H777" s="79"/>
      <c r="I777" s="79">
        <f>150+100</f>
        <v>250</v>
      </c>
      <c r="J777" s="79"/>
      <c r="K777" s="79"/>
      <c r="L777" s="79"/>
      <c r="M777" s="79"/>
      <c r="N777" s="79"/>
      <c r="O777" s="79"/>
      <c r="P777" s="79"/>
      <c r="Q777" s="79">
        <f t="shared" si="36"/>
        <v>1139</v>
      </c>
      <c r="R777" s="79">
        <f t="shared" si="37"/>
        <v>0</v>
      </c>
      <c r="S777" s="79">
        <f t="shared" si="38"/>
        <v>1139</v>
      </c>
    </row>
    <row r="778" spans="1:19" x14ac:dyDescent="0.2">
      <c r="A778" s="102" t="s">
        <v>5754</v>
      </c>
      <c r="B778" s="71" t="s">
        <v>5788</v>
      </c>
      <c r="C778" s="76">
        <v>492</v>
      </c>
      <c r="D778" s="72" t="s">
        <v>5834</v>
      </c>
      <c r="E778" s="73" t="s">
        <v>19</v>
      </c>
      <c r="F778" s="75">
        <v>42338</v>
      </c>
      <c r="G778" s="82">
        <f>84.57</f>
        <v>84.57</v>
      </c>
      <c r="H778" s="79"/>
      <c r="I778" s="79"/>
      <c r="J778" s="79"/>
      <c r="K778" s="79"/>
      <c r="L778" s="79"/>
      <c r="M778" s="79"/>
      <c r="N778" s="79"/>
      <c r="O778" s="79"/>
      <c r="P778" s="79"/>
      <c r="Q778" s="79">
        <f t="shared" si="36"/>
        <v>84.57</v>
      </c>
      <c r="R778" s="79">
        <f t="shared" si="37"/>
        <v>0</v>
      </c>
      <c r="S778" s="79">
        <f t="shared" si="38"/>
        <v>84.57</v>
      </c>
    </row>
    <row r="779" spans="1:19" x14ac:dyDescent="0.2">
      <c r="A779" s="102" t="s">
        <v>5755</v>
      </c>
      <c r="B779" s="71" t="s">
        <v>5789</v>
      </c>
      <c r="C779" s="76">
        <v>493</v>
      </c>
      <c r="D779" s="72" t="s">
        <v>5835</v>
      </c>
      <c r="E779" s="73" t="s">
        <v>19</v>
      </c>
      <c r="F779" s="75">
        <v>42338</v>
      </c>
      <c r="G779" s="82">
        <f>77.55+1553.51+77.56+47.2</f>
        <v>1755.82</v>
      </c>
      <c r="H779" s="79"/>
      <c r="I779" s="79">
        <f>2400</f>
        <v>2400</v>
      </c>
      <c r="J779" s="79"/>
      <c r="K779" s="79"/>
      <c r="L779" s="79"/>
      <c r="M779" s="79"/>
      <c r="N779" s="79"/>
      <c r="O779" s="79"/>
      <c r="P779" s="79"/>
      <c r="Q779" s="79">
        <f t="shared" si="36"/>
        <v>4155.82</v>
      </c>
      <c r="R779" s="79">
        <f t="shared" si="37"/>
        <v>0</v>
      </c>
      <c r="S779" s="79">
        <f t="shared" si="38"/>
        <v>4155.82</v>
      </c>
    </row>
    <row r="780" spans="1:19" x14ac:dyDescent="0.2">
      <c r="A780" s="102" t="s">
        <v>5756</v>
      </c>
      <c r="B780" s="71" t="s">
        <v>5790</v>
      </c>
      <c r="C780" s="76">
        <v>494</v>
      </c>
      <c r="D780" s="72" t="s">
        <v>5836</v>
      </c>
      <c r="E780" s="73" t="s">
        <v>19</v>
      </c>
      <c r="F780" s="75">
        <v>42339</v>
      </c>
      <c r="G780" s="82"/>
      <c r="H780" s="79"/>
      <c r="I780" s="79"/>
      <c r="J780" s="79"/>
      <c r="K780" s="79"/>
      <c r="L780" s="79"/>
      <c r="M780" s="79"/>
      <c r="N780" s="79"/>
      <c r="O780" s="79"/>
      <c r="P780" s="79"/>
      <c r="Q780" s="79">
        <f t="shared" si="36"/>
        <v>0</v>
      </c>
      <c r="R780" s="79">
        <f t="shared" si="37"/>
        <v>0</v>
      </c>
      <c r="S780" s="79">
        <f t="shared" si="38"/>
        <v>0</v>
      </c>
    </row>
    <row r="781" spans="1:19" x14ac:dyDescent="0.2">
      <c r="A781" s="102" t="s">
        <v>5757</v>
      </c>
      <c r="B781" s="71" t="s">
        <v>5791</v>
      </c>
      <c r="C781" s="76">
        <v>495</v>
      </c>
      <c r="D781" s="72" t="s">
        <v>5837</v>
      </c>
      <c r="E781" s="73" t="s">
        <v>19</v>
      </c>
      <c r="F781" s="75">
        <v>42339</v>
      </c>
      <c r="G781" s="82"/>
      <c r="H781" s="79"/>
      <c r="I781" s="79"/>
      <c r="J781" s="79"/>
      <c r="K781" s="79"/>
      <c r="L781" s="79"/>
      <c r="M781" s="79"/>
      <c r="N781" s="79"/>
      <c r="O781" s="79"/>
      <c r="P781" s="79"/>
      <c r="Q781" s="79">
        <f t="shared" si="36"/>
        <v>0</v>
      </c>
      <c r="R781" s="79">
        <f t="shared" si="37"/>
        <v>0</v>
      </c>
      <c r="S781" s="79">
        <f t="shared" si="38"/>
        <v>0</v>
      </c>
    </row>
    <row r="782" spans="1:19" x14ac:dyDescent="0.2">
      <c r="A782" s="102" t="s">
        <v>5758</v>
      </c>
      <c r="B782" s="71" t="s">
        <v>5792</v>
      </c>
      <c r="C782" s="76">
        <v>496</v>
      </c>
      <c r="D782" s="72" t="s">
        <v>5838</v>
      </c>
      <c r="E782" s="73" t="s">
        <v>19</v>
      </c>
      <c r="F782" s="75">
        <v>42340</v>
      </c>
      <c r="G782" s="82">
        <f>203.9+300.38+531.83+558+41.3+41.3+13958.8+41.3+41.3+64.5+150+558+41.3</f>
        <v>16531.909999999996</v>
      </c>
      <c r="H782" s="79"/>
      <c r="I782" s="79">
        <v>2975</v>
      </c>
      <c r="J782" s="79"/>
      <c r="K782" s="79"/>
      <c r="L782" s="79"/>
      <c r="M782" s="79"/>
      <c r="N782" s="79"/>
      <c r="O782" s="79"/>
      <c r="P782" s="79"/>
      <c r="Q782" s="79">
        <f t="shared" si="36"/>
        <v>19506.909999999996</v>
      </c>
      <c r="R782" s="79">
        <f t="shared" si="37"/>
        <v>0</v>
      </c>
      <c r="S782" s="79">
        <f t="shared" si="38"/>
        <v>19506.909999999996</v>
      </c>
    </row>
    <row r="783" spans="1:19" x14ac:dyDescent="0.2">
      <c r="A783" s="102" t="s">
        <v>5759</v>
      </c>
      <c r="B783" s="71" t="s">
        <v>5793</v>
      </c>
      <c r="C783" s="76">
        <v>497</v>
      </c>
      <c r="D783" s="72" t="s">
        <v>5839</v>
      </c>
      <c r="E783" s="73" t="s">
        <v>19</v>
      </c>
      <c r="F783" s="75">
        <v>42340</v>
      </c>
      <c r="G783" s="82">
        <f>192.34</f>
        <v>192.34</v>
      </c>
      <c r="H783" s="79"/>
      <c r="I783" s="79"/>
      <c r="J783" s="79"/>
      <c r="K783" s="79"/>
      <c r="L783" s="79"/>
      <c r="M783" s="79"/>
      <c r="N783" s="79"/>
      <c r="O783" s="79"/>
      <c r="P783" s="79"/>
      <c r="Q783" s="79">
        <f t="shared" si="36"/>
        <v>192.34</v>
      </c>
      <c r="R783" s="79">
        <f t="shared" si="37"/>
        <v>0</v>
      </c>
      <c r="S783" s="79">
        <f t="shared" si="38"/>
        <v>192.34</v>
      </c>
    </row>
    <row r="784" spans="1:19" x14ac:dyDescent="0.2">
      <c r="A784" s="102" t="s">
        <v>5760</v>
      </c>
      <c r="B784" s="71" t="s">
        <v>5794</v>
      </c>
      <c r="C784" s="76">
        <v>498</v>
      </c>
      <c r="D784" s="72" t="s">
        <v>5840</v>
      </c>
      <c r="E784" s="73" t="s">
        <v>19</v>
      </c>
      <c r="F784" s="75">
        <v>42340</v>
      </c>
      <c r="G784" s="82">
        <f>48</f>
        <v>48</v>
      </c>
      <c r="H784" s="79"/>
      <c r="I784" s="79"/>
      <c r="J784" s="79"/>
      <c r="K784" s="79"/>
      <c r="L784" s="79"/>
      <c r="M784" s="79"/>
      <c r="N784" s="79"/>
      <c r="O784" s="79"/>
      <c r="P784" s="79"/>
      <c r="Q784" s="79">
        <f t="shared" si="36"/>
        <v>48</v>
      </c>
      <c r="R784" s="79">
        <f t="shared" si="37"/>
        <v>0</v>
      </c>
      <c r="S784" s="79">
        <f t="shared" si="38"/>
        <v>48</v>
      </c>
    </row>
    <row r="785" spans="1:19" x14ac:dyDescent="0.2">
      <c r="A785" s="102" t="s">
        <v>5844</v>
      </c>
      <c r="B785" s="71" t="s">
        <v>5878</v>
      </c>
      <c r="C785" s="76">
        <v>499</v>
      </c>
      <c r="D785" s="72" t="s">
        <v>5911</v>
      </c>
      <c r="E785" s="73" t="s">
        <v>19</v>
      </c>
      <c r="F785" s="75">
        <v>42340</v>
      </c>
      <c r="G785" s="82">
        <f>66.79</f>
        <v>66.790000000000006</v>
      </c>
      <c r="H785" s="79"/>
      <c r="I785" s="79"/>
      <c r="J785" s="79"/>
      <c r="K785" s="79"/>
      <c r="L785" s="79"/>
      <c r="M785" s="79"/>
      <c r="N785" s="79"/>
      <c r="O785" s="79"/>
      <c r="P785" s="79"/>
      <c r="Q785" s="79">
        <f t="shared" si="36"/>
        <v>66.790000000000006</v>
      </c>
      <c r="R785" s="79">
        <f t="shared" si="37"/>
        <v>0</v>
      </c>
      <c r="S785" s="79">
        <f t="shared" si="38"/>
        <v>66.790000000000006</v>
      </c>
    </row>
    <row r="786" spans="1:19" x14ac:dyDescent="0.2">
      <c r="A786" s="102" t="s">
        <v>5844</v>
      </c>
      <c r="B786" s="71" t="s">
        <v>5878</v>
      </c>
      <c r="C786" s="76">
        <v>499</v>
      </c>
      <c r="D786" s="72" t="s">
        <v>5912</v>
      </c>
      <c r="E786" s="73" t="s">
        <v>19</v>
      </c>
      <c r="F786" s="75">
        <v>42340</v>
      </c>
      <c r="G786" s="82">
        <f>1177.67+254.26+86.94+55.86+692.01+69.7+122.24+147.02+122.24+600+41.3+202.78</f>
        <v>3572.0199999999995</v>
      </c>
      <c r="H786" s="79"/>
      <c r="I786" s="79">
        <f>775+1500+1500+75</f>
        <v>3850</v>
      </c>
      <c r="J786" s="79"/>
      <c r="K786" s="79"/>
      <c r="L786" s="79"/>
      <c r="M786" s="79"/>
      <c r="N786" s="79"/>
      <c r="O786" s="79"/>
      <c r="P786" s="79"/>
      <c r="Q786" s="79">
        <f t="shared" si="36"/>
        <v>7422.0199999999995</v>
      </c>
      <c r="R786" s="79">
        <f t="shared" si="37"/>
        <v>0</v>
      </c>
      <c r="S786" s="79">
        <f t="shared" si="38"/>
        <v>7422.0199999999995</v>
      </c>
    </row>
    <row r="787" spans="1:19" x14ac:dyDescent="0.2">
      <c r="A787" s="102" t="s">
        <v>5844</v>
      </c>
      <c r="B787" s="71" t="s">
        <v>5878</v>
      </c>
      <c r="C787" s="76">
        <v>499</v>
      </c>
      <c r="D787" s="72" t="s">
        <v>5913</v>
      </c>
      <c r="E787" s="73" t="s">
        <v>19</v>
      </c>
      <c r="F787" s="75">
        <v>42340</v>
      </c>
      <c r="G787" s="82">
        <f>283.13</f>
        <v>283.13</v>
      </c>
      <c r="H787" s="79"/>
      <c r="I787" s="79"/>
      <c r="J787" s="79"/>
      <c r="K787" s="79"/>
      <c r="L787" s="79"/>
      <c r="M787" s="79"/>
      <c r="N787" s="79"/>
      <c r="O787" s="79"/>
      <c r="P787" s="79"/>
      <c r="Q787" s="79">
        <f t="shared" si="36"/>
        <v>283.13</v>
      </c>
      <c r="R787" s="79">
        <f t="shared" si="37"/>
        <v>0</v>
      </c>
      <c r="S787" s="79">
        <f t="shared" si="38"/>
        <v>283.13</v>
      </c>
    </row>
    <row r="788" spans="1:19" x14ac:dyDescent="0.2">
      <c r="A788" s="102" t="s">
        <v>5303</v>
      </c>
      <c r="B788" s="71" t="s">
        <v>5330</v>
      </c>
      <c r="C788" s="76">
        <v>500</v>
      </c>
      <c r="D788" s="72" t="s">
        <v>5914</v>
      </c>
      <c r="E788" s="73" t="s">
        <v>19</v>
      </c>
      <c r="F788" s="75">
        <v>42340</v>
      </c>
      <c r="G788" s="82">
        <f>2454.35+74.5+389.54+41.3</f>
        <v>2959.69</v>
      </c>
      <c r="H788" s="79"/>
      <c r="I788" s="79"/>
      <c r="J788" s="79"/>
      <c r="K788" s="79"/>
      <c r="L788" s="79"/>
      <c r="M788" s="79"/>
      <c r="N788" s="79"/>
      <c r="O788" s="79"/>
      <c r="P788" s="79"/>
      <c r="Q788" s="79">
        <f t="shared" si="36"/>
        <v>2959.69</v>
      </c>
      <c r="R788" s="79">
        <f t="shared" si="37"/>
        <v>0</v>
      </c>
      <c r="S788" s="79">
        <f t="shared" si="38"/>
        <v>2959.69</v>
      </c>
    </row>
    <row r="789" spans="1:19" x14ac:dyDescent="0.2">
      <c r="A789" s="102" t="s">
        <v>5845</v>
      </c>
      <c r="B789" s="71" t="s">
        <v>5879</v>
      </c>
      <c r="C789" s="76">
        <v>501</v>
      </c>
      <c r="D789" s="72" t="s">
        <v>5915</v>
      </c>
      <c r="E789" s="73" t="s">
        <v>19</v>
      </c>
      <c r="F789" s="75">
        <v>42340</v>
      </c>
      <c r="G789" s="82">
        <f>113.6</f>
        <v>113.6</v>
      </c>
      <c r="H789" s="79"/>
      <c r="I789" s="79"/>
      <c r="J789" s="79"/>
      <c r="K789" s="79"/>
      <c r="L789" s="79"/>
      <c r="M789" s="79"/>
      <c r="N789" s="79"/>
      <c r="O789" s="79"/>
      <c r="P789" s="79"/>
      <c r="Q789" s="79">
        <f t="shared" si="36"/>
        <v>113.6</v>
      </c>
      <c r="R789" s="79">
        <f t="shared" si="37"/>
        <v>0</v>
      </c>
      <c r="S789" s="79">
        <f t="shared" si="38"/>
        <v>113.6</v>
      </c>
    </row>
    <row r="790" spans="1:19" x14ac:dyDescent="0.2">
      <c r="A790" s="102" t="s">
        <v>5846</v>
      </c>
      <c r="B790" s="71" t="s">
        <v>5880</v>
      </c>
      <c r="C790" s="76">
        <v>502</v>
      </c>
      <c r="D790" s="72" t="s">
        <v>5916</v>
      </c>
      <c r="E790" s="73" t="s">
        <v>19</v>
      </c>
      <c r="F790" s="75">
        <v>42341</v>
      </c>
      <c r="G790" s="82">
        <f>98</f>
        <v>98</v>
      </c>
      <c r="H790" s="79"/>
      <c r="I790" s="79"/>
      <c r="J790" s="79"/>
      <c r="K790" s="79"/>
      <c r="L790" s="79"/>
      <c r="M790" s="79"/>
      <c r="N790" s="79"/>
      <c r="O790" s="79"/>
      <c r="P790" s="79"/>
      <c r="Q790" s="79">
        <f t="shared" si="36"/>
        <v>98</v>
      </c>
      <c r="R790" s="79">
        <f t="shared" si="37"/>
        <v>0</v>
      </c>
      <c r="S790" s="79">
        <f t="shared" si="38"/>
        <v>98</v>
      </c>
    </row>
    <row r="791" spans="1:19" x14ac:dyDescent="0.2">
      <c r="A791" s="102" t="s">
        <v>5846</v>
      </c>
      <c r="B791" s="71" t="s">
        <v>5880</v>
      </c>
      <c r="C791" s="76">
        <v>502</v>
      </c>
      <c r="D791" s="72" t="s">
        <v>5917</v>
      </c>
      <c r="E791" s="73" t="s">
        <v>19</v>
      </c>
      <c r="F791" s="75">
        <v>42341</v>
      </c>
      <c r="G791" s="82">
        <v>93.52</v>
      </c>
      <c r="H791" s="79"/>
      <c r="I791" s="79"/>
      <c r="J791" s="79"/>
      <c r="K791" s="79"/>
      <c r="L791" s="79"/>
      <c r="M791" s="79"/>
      <c r="N791" s="79"/>
      <c r="O791" s="79"/>
      <c r="P791" s="79"/>
      <c r="Q791" s="79">
        <f t="shared" si="36"/>
        <v>93.52</v>
      </c>
      <c r="R791" s="79">
        <f t="shared" si="37"/>
        <v>0</v>
      </c>
      <c r="S791" s="79">
        <f t="shared" si="38"/>
        <v>93.52</v>
      </c>
    </row>
    <row r="792" spans="1:19" x14ac:dyDescent="0.2">
      <c r="A792" s="102" t="s">
        <v>5846</v>
      </c>
      <c r="B792" s="71" t="s">
        <v>5880</v>
      </c>
      <c r="C792" s="76">
        <v>502</v>
      </c>
      <c r="D792" s="72" t="s">
        <v>5918</v>
      </c>
      <c r="E792" s="73" t="s">
        <v>19</v>
      </c>
      <c r="F792" s="75">
        <v>42341</v>
      </c>
      <c r="G792" s="82">
        <f>84.25</f>
        <v>84.25</v>
      </c>
      <c r="H792" s="79"/>
      <c r="I792" s="79"/>
      <c r="J792" s="79"/>
      <c r="K792" s="79"/>
      <c r="L792" s="79"/>
      <c r="M792" s="79"/>
      <c r="N792" s="79"/>
      <c r="O792" s="79"/>
      <c r="P792" s="79"/>
      <c r="Q792" s="79">
        <f t="shared" si="36"/>
        <v>84.25</v>
      </c>
      <c r="R792" s="79">
        <f t="shared" si="37"/>
        <v>0</v>
      </c>
      <c r="S792" s="79">
        <f t="shared" si="38"/>
        <v>84.25</v>
      </c>
    </row>
    <row r="793" spans="1:19" x14ac:dyDescent="0.2">
      <c r="A793" s="102" t="s">
        <v>5847</v>
      </c>
      <c r="B793" s="71" t="s">
        <v>5881</v>
      </c>
      <c r="C793" s="76">
        <v>503</v>
      </c>
      <c r="D793" s="72" t="s">
        <v>5919</v>
      </c>
      <c r="E793" s="73" t="s">
        <v>19</v>
      </c>
      <c r="F793" s="75">
        <v>42342</v>
      </c>
      <c r="G793" s="82">
        <f>312.4</f>
        <v>312.39999999999998</v>
      </c>
      <c r="H793" s="79"/>
      <c r="I793" s="79"/>
      <c r="J793" s="79"/>
      <c r="K793" s="79"/>
      <c r="L793" s="79"/>
      <c r="M793" s="79"/>
      <c r="N793" s="79"/>
      <c r="O793" s="79"/>
      <c r="P793" s="79"/>
      <c r="Q793" s="79">
        <f t="shared" si="36"/>
        <v>312.39999999999998</v>
      </c>
      <c r="R793" s="79">
        <f t="shared" si="37"/>
        <v>0</v>
      </c>
      <c r="S793" s="79">
        <f t="shared" si="38"/>
        <v>312.39999999999998</v>
      </c>
    </row>
    <row r="794" spans="1:19" x14ac:dyDescent="0.2">
      <c r="A794" s="102" t="s">
        <v>5848</v>
      </c>
      <c r="B794" s="71" t="s">
        <v>5882</v>
      </c>
      <c r="C794" s="76">
        <v>504</v>
      </c>
      <c r="D794" s="72" t="s">
        <v>5920</v>
      </c>
      <c r="E794" s="73" t="s">
        <v>19</v>
      </c>
      <c r="F794" s="75">
        <v>42342</v>
      </c>
      <c r="G794" s="82">
        <f>110.8</f>
        <v>110.8</v>
      </c>
      <c r="H794" s="79"/>
      <c r="I794" s="79"/>
      <c r="J794" s="79"/>
      <c r="K794" s="79"/>
      <c r="L794" s="79"/>
      <c r="M794" s="79"/>
      <c r="N794" s="79"/>
      <c r="O794" s="79"/>
      <c r="P794" s="79"/>
      <c r="Q794" s="79">
        <f t="shared" si="36"/>
        <v>110.8</v>
      </c>
      <c r="R794" s="79">
        <f t="shared" si="37"/>
        <v>0</v>
      </c>
      <c r="S794" s="79">
        <f t="shared" si="38"/>
        <v>110.8</v>
      </c>
    </row>
    <row r="795" spans="1:19" x14ac:dyDescent="0.2">
      <c r="A795" s="102" t="s">
        <v>5849</v>
      </c>
      <c r="B795" s="71" t="s">
        <v>5883</v>
      </c>
      <c r="C795" s="76">
        <v>505</v>
      </c>
      <c r="D795" s="72" t="s">
        <v>5921</v>
      </c>
      <c r="E795" s="73" t="s">
        <v>19</v>
      </c>
      <c r="F795" s="75">
        <v>42344</v>
      </c>
      <c r="G795" s="82">
        <f>119.97+692.29+168.08+41.3+41.3</f>
        <v>1062.94</v>
      </c>
      <c r="H795" s="79"/>
      <c r="I795" s="79"/>
      <c r="J795" s="79"/>
      <c r="K795" s="79"/>
      <c r="L795" s="79"/>
      <c r="M795" s="79"/>
      <c r="N795" s="79"/>
      <c r="O795" s="79"/>
      <c r="P795" s="79"/>
      <c r="Q795" s="79">
        <f t="shared" si="36"/>
        <v>1062.94</v>
      </c>
      <c r="R795" s="79">
        <f t="shared" si="37"/>
        <v>0</v>
      </c>
      <c r="S795" s="79">
        <f t="shared" si="38"/>
        <v>1062.94</v>
      </c>
    </row>
    <row r="796" spans="1:19" x14ac:dyDescent="0.2">
      <c r="A796" s="102" t="s">
        <v>5850</v>
      </c>
      <c r="B796" s="71" t="s">
        <v>5884</v>
      </c>
      <c r="C796" s="76">
        <v>506</v>
      </c>
      <c r="D796" s="72" t="s">
        <v>5922</v>
      </c>
      <c r="E796" s="73" t="s">
        <v>19</v>
      </c>
      <c r="F796" s="75">
        <v>42345</v>
      </c>
      <c r="G796" s="82"/>
      <c r="H796" s="79"/>
      <c r="I796" s="79"/>
      <c r="J796" s="79"/>
      <c r="K796" s="79"/>
      <c r="L796" s="79"/>
      <c r="M796" s="79"/>
      <c r="N796" s="79"/>
      <c r="O796" s="79"/>
      <c r="P796" s="79"/>
      <c r="Q796" s="79">
        <f t="shared" si="36"/>
        <v>0</v>
      </c>
      <c r="R796" s="79">
        <f t="shared" si="37"/>
        <v>0</v>
      </c>
      <c r="S796" s="79">
        <f t="shared" si="38"/>
        <v>0</v>
      </c>
    </row>
    <row r="797" spans="1:19" x14ac:dyDescent="0.2">
      <c r="A797" s="102" t="s">
        <v>5851</v>
      </c>
      <c r="B797" s="71" t="s">
        <v>5885</v>
      </c>
      <c r="C797" s="76">
        <v>507</v>
      </c>
      <c r="D797" s="72" t="s">
        <v>5923</v>
      </c>
      <c r="E797" s="73" t="s">
        <v>19</v>
      </c>
      <c r="F797" s="75">
        <v>42345</v>
      </c>
      <c r="G797" s="82">
        <f>1030.03+265.52+558+76.95+94.9+335+335+215+59+112.84</f>
        <v>3082.2400000000002</v>
      </c>
      <c r="H797" s="79"/>
      <c r="I797" s="79">
        <v>1756.67</v>
      </c>
      <c r="J797" s="79"/>
      <c r="K797" s="79"/>
      <c r="L797" s="79"/>
      <c r="M797" s="79"/>
      <c r="N797" s="79"/>
      <c r="O797" s="79"/>
      <c r="P797" s="79"/>
      <c r="Q797" s="79">
        <f t="shared" si="36"/>
        <v>4838.91</v>
      </c>
      <c r="R797" s="79">
        <f t="shared" si="37"/>
        <v>0</v>
      </c>
      <c r="S797" s="79">
        <f t="shared" si="38"/>
        <v>4838.91</v>
      </c>
    </row>
    <row r="798" spans="1:19" x14ac:dyDescent="0.2">
      <c r="A798" s="102" t="s">
        <v>5851</v>
      </c>
      <c r="B798" s="71" t="s">
        <v>5885</v>
      </c>
      <c r="C798" s="76">
        <v>507</v>
      </c>
      <c r="D798" s="72" t="s">
        <v>5924</v>
      </c>
      <c r="E798" s="73" t="s">
        <v>19</v>
      </c>
      <c r="F798" s="75">
        <v>42345</v>
      </c>
      <c r="G798" s="82">
        <f>238.94</f>
        <v>238.94</v>
      </c>
      <c r="H798" s="79"/>
      <c r="I798" s="79"/>
      <c r="J798" s="79"/>
      <c r="K798" s="79"/>
      <c r="L798" s="79"/>
      <c r="M798" s="79"/>
      <c r="N798" s="79"/>
      <c r="O798" s="79"/>
      <c r="P798" s="79"/>
      <c r="Q798" s="79">
        <f t="shared" si="36"/>
        <v>238.94</v>
      </c>
      <c r="R798" s="79">
        <f t="shared" si="37"/>
        <v>0</v>
      </c>
      <c r="S798" s="79">
        <f t="shared" si="38"/>
        <v>238.94</v>
      </c>
    </row>
    <row r="799" spans="1:19" x14ac:dyDescent="0.2">
      <c r="A799" s="102" t="s">
        <v>5852</v>
      </c>
      <c r="B799" s="71" t="s">
        <v>5886</v>
      </c>
      <c r="C799" s="76">
        <v>508</v>
      </c>
      <c r="D799" s="72" t="s">
        <v>5925</v>
      </c>
      <c r="E799" s="73" t="s">
        <v>19</v>
      </c>
      <c r="F799" s="75">
        <v>42346</v>
      </c>
      <c r="G799" s="82">
        <f>93.24</f>
        <v>93.24</v>
      </c>
      <c r="H799" s="79"/>
      <c r="I799" s="79"/>
      <c r="J799" s="79"/>
      <c r="K799" s="79"/>
      <c r="L799" s="79"/>
      <c r="M799" s="79"/>
      <c r="N799" s="79"/>
      <c r="O799" s="79"/>
      <c r="P799" s="79"/>
      <c r="Q799" s="79">
        <f t="shared" si="36"/>
        <v>93.24</v>
      </c>
      <c r="R799" s="79">
        <f t="shared" si="37"/>
        <v>0</v>
      </c>
      <c r="S799" s="79">
        <f t="shared" si="38"/>
        <v>93.24</v>
      </c>
    </row>
    <row r="800" spans="1:19" x14ac:dyDescent="0.2">
      <c r="A800" s="102" t="s">
        <v>5852</v>
      </c>
      <c r="B800" s="71" t="s">
        <v>5886</v>
      </c>
      <c r="C800" s="76">
        <v>508</v>
      </c>
      <c r="D800" s="72" t="s">
        <v>5926</v>
      </c>
      <c r="E800" s="73" t="s">
        <v>19</v>
      </c>
      <c r="F800" s="75">
        <v>42346</v>
      </c>
      <c r="G800" s="82">
        <f>49.5</f>
        <v>49.5</v>
      </c>
      <c r="H800" s="79"/>
      <c r="I800" s="79"/>
      <c r="J800" s="79"/>
      <c r="K800" s="79"/>
      <c r="L800" s="79"/>
      <c r="M800" s="79"/>
      <c r="N800" s="79"/>
      <c r="O800" s="79"/>
      <c r="P800" s="79"/>
      <c r="Q800" s="79">
        <f t="shared" si="36"/>
        <v>49.5</v>
      </c>
      <c r="R800" s="79">
        <f t="shared" si="37"/>
        <v>0</v>
      </c>
      <c r="S800" s="79">
        <f t="shared" si="38"/>
        <v>49.5</v>
      </c>
    </row>
    <row r="801" spans="1:19" x14ac:dyDescent="0.2">
      <c r="A801" s="102" t="s">
        <v>5853</v>
      </c>
      <c r="B801" s="71" t="s">
        <v>5887</v>
      </c>
      <c r="C801" s="76">
        <v>509</v>
      </c>
      <c r="D801" s="72" t="s">
        <v>5927</v>
      </c>
      <c r="E801" s="73" t="s">
        <v>19</v>
      </c>
      <c r="F801" s="75">
        <v>42346</v>
      </c>
      <c r="G801" s="82">
        <f>117.68</f>
        <v>117.68</v>
      </c>
      <c r="H801" s="79"/>
      <c r="I801" s="79"/>
      <c r="J801" s="79"/>
      <c r="K801" s="79"/>
      <c r="L801" s="79"/>
      <c r="M801" s="79"/>
      <c r="N801" s="79"/>
      <c r="O801" s="79"/>
      <c r="P801" s="79"/>
      <c r="Q801" s="79">
        <f t="shared" si="36"/>
        <v>117.68</v>
      </c>
      <c r="R801" s="79">
        <f t="shared" si="37"/>
        <v>0</v>
      </c>
      <c r="S801" s="79">
        <f t="shared" si="38"/>
        <v>117.68</v>
      </c>
    </row>
    <row r="802" spans="1:19" x14ac:dyDescent="0.2">
      <c r="A802" s="102" t="s">
        <v>5853</v>
      </c>
      <c r="B802" s="71" t="s">
        <v>5887</v>
      </c>
      <c r="C802" s="76">
        <v>509</v>
      </c>
      <c r="D802" s="72" t="s">
        <v>5928</v>
      </c>
      <c r="E802" s="73" t="s">
        <v>19</v>
      </c>
      <c r="F802" s="75">
        <v>42346</v>
      </c>
      <c r="G802" s="82">
        <f>106.03</f>
        <v>106.03</v>
      </c>
      <c r="H802" s="79"/>
      <c r="I802" s="79"/>
      <c r="J802" s="79"/>
      <c r="K802" s="79"/>
      <c r="L802" s="79"/>
      <c r="M802" s="79"/>
      <c r="N802" s="79"/>
      <c r="O802" s="79"/>
      <c r="P802" s="79"/>
      <c r="Q802" s="79">
        <f t="shared" si="36"/>
        <v>106.03</v>
      </c>
      <c r="R802" s="79">
        <f t="shared" si="37"/>
        <v>0</v>
      </c>
      <c r="S802" s="79">
        <f t="shared" si="38"/>
        <v>106.03</v>
      </c>
    </row>
    <row r="803" spans="1:19" x14ac:dyDescent="0.2">
      <c r="A803" s="102" t="s">
        <v>5853</v>
      </c>
      <c r="B803" s="71" t="s">
        <v>5887</v>
      </c>
      <c r="C803" s="76">
        <v>509</v>
      </c>
      <c r="D803" s="72" t="s">
        <v>5929</v>
      </c>
      <c r="E803" s="73" t="s">
        <v>19</v>
      </c>
      <c r="F803" s="75">
        <v>42346</v>
      </c>
      <c r="G803" s="82">
        <f>56.64</f>
        <v>56.64</v>
      </c>
      <c r="H803" s="79"/>
      <c r="I803" s="79"/>
      <c r="J803" s="79"/>
      <c r="K803" s="79"/>
      <c r="L803" s="79"/>
      <c r="M803" s="79"/>
      <c r="N803" s="79"/>
      <c r="O803" s="79"/>
      <c r="P803" s="79"/>
      <c r="Q803" s="79">
        <f t="shared" si="36"/>
        <v>56.64</v>
      </c>
      <c r="R803" s="79">
        <f t="shared" si="37"/>
        <v>0</v>
      </c>
      <c r="S803" s="79">
        <f t="shared" si="38"/>
        <v>56.64</v>
      </c>
    </row>
    <row r="804" spans="1:19" x14ac:dyDescent="0.2">
      <c r="A804" s="102" t="s">
        <v>5853</v>
      </c>
      <c r="B804" s="71" t="s">
        <v>5887</v>
      </c>
      <c r="C804" s="76">
        <v>509</v>
      </c>
      <c r="D804" s="72" t="s">
        <v>5930</v>
      </c>
      <c r="E804" s="73" t="s">
        <v>19</v>
      </c>
      <c r="F804" s="75">
        <v>42346</v>
      </c>
      <c r="G804" s="82">
        <f>77.29</f>
        <v>77.290000000000006</v>
      </c>
      <c r="H804" s="79"/>
      <c r="I804" s="79"/>
      <c r="J804" s="79"/>
      <c r="K804" s="79"/>
      <c r="L804" s="79"/>
      <c r="M804" s="79"/>
      <c r="N804" s="79"/>
      <c r="O804" s="79"/>
      <c r="P804" s="79"/>
      <c r="Q804" s="79">
        <f t="shared" si="36"/>
        <v>77.290000000000006</v>
      </c>
      <c r="R804" s="79">
        <f t="shared" si="37"/>
        <v>0</v>
      </c>
      <c r="S804" s="79">
        <f t="shared" si="38"/>
        <v>77.290000000000006</v>
      </c>
    </row>
    <row r="805" spans="1:19" x14ac:dyDescent="0.2">
      <c r="A805" s="102" t="s">
        <v>5853</v>
      </c>
      <c r="B805" s="71" t="s">
        <v>5887</v>
      </c>
      <c r="C805" s="76">
        <v>509</v>
      </c>
      <c r="D805" s="72" t="s">
        <v>5931</v>
      </c>
      <c r="E805" s="73" t="s">
        <v>19</v>
      </c>
      <c r="F805" s="75">
        <v>42346</v>
      </c>
      <c r="G805" s="82">
        <f>77.29</f>
        <v>77.290000000000006</v>
      </c>
      <c r="H805" s="79"/>
      <c r="I805" s="79"/>
      <c r="J805" s="79"/>
      <c r="K805" s="79"/>
      <c r="L805" s="79"/>
      <c r="M805" s="79"/>
      <c r="N805" s="79"/>
      <c r="O805" s="79"/>
      <c r="P805" s="79"/>
      <c r="Q805" s="79">
        <f t="shared" si="36"/>
        <v>77.290000000000006</v>
      </c>
      <c r="R805" s="79">
        <f t="shared" si="37"/>
        <v>0</v>
      </c>
      <c r="S805" s="79">
        <f t="shared" si="38"/>
        <v>77.290000000000006</v>
      </c>
    </row>
    <row r="806" spans="1:19" x14ac:dyDescent="0.2">
      <c r="A806" s="102" t="s">
        <v>5854</v>
      </c>
      <c r="B806" s="71" t="s">
        <v>5888</v>
      </c>
      <c r="C806" s="76">
        <v>510</v>
      </c>
      <c r="D806" s="72" t="s">
        <v>5932</v>
      </c>
      <c r="E806" s="73" t="s">
        <v>4064</v>
      </c>
      <c r="F806" s="75">
        <v>42346</v>
      </c>
      <c r="G806" s="82">
        <f>30+129</f>
        <v>159</v>
      </c>
      <c r="H806" s="79"/>
      <c r="I806" s="79"/>
      <c r="J806" s="79"/>
      <c r="K806" s="79"/>
      <c r="L806" s="79"/>
      <c r="M806" s="79"/>
      <c r="N806" s="79"/>
      <c r="O806" s="79"/>
      <c r="P806" s="79"/>
      <c r="Q806" s="79">
        <f t="shared" si="36"/>
        <v>159</v>
      </c>
      <c r="R806" s="79">
        <f t="shared" si="37"/>
        <v>0</v>
      </c>
      <c r="S806" s="79">
        <f t="shared" si="38"/>
        <v>159</v>
      </c>
    </row>
    <row r="807" spans="1:19" x14ac:dyDescent="0.2">
      <c r="A807" s="102" t="s">
        <v>5855</v>
      </c>
      <c r="B807" s="71" t="s">
        <v>5889</v>
      </c>
      <c r="C807" s="76">
        <v>511</v>
      </c>
      <c r="D807" s="72" t="s">
        <v>5933</v>
      </c>
      <c r="E807" s="73" t="s">
        <v>19</v>
      </c>
      <c r="F807" s="75">
        <v>42350</v>
      </c>
      <c r="G807" s="82">
        <f>40</f>
        <v>40</v>
      </c>
      <c r="H807" s="79"/>
      <c r="I807" s="79"/>
      <c r="J807" s="79"/>
      <c r="K807" s="79"/>
      <c r="L807" s="79"/>
      <c r="M807" s="79"/>
      <c r="N807" s="79"/>
      <c r="O807" s="79"/>
      <c r="P807" s="79"/>
      <c r="Q807" s="79">
        <f t="shared" si="36"/>
        <v>40</v>
      </c>
      <c r="R807" s="79">
        <f t="shared" si="37"/>
        <v>0</v>
      </c>
      <c r="S807" s="79">
        <f t="shared" si="38"/>
        <v>40</v>
      </c>
    </row>
    <row r="808" spans="1:19" x14ac:dyDescent="0.2">
      <c r="A808" s="102" t="s">
        <v>5855</v>
      </c>
      <c r="B808" s="71" t="s">
        <v>5889</v>
      </c>
      <c r="C808" s="76">
        <v>511</v>
      </c>
      <c r="D808" s="72" t="s">
        <v>5934</v>
      </c>
      <c r="E808" s="73" t="s">
        <v>19</v>
      </c>
      <c r="F808" s="75">
        <v>42350</v>
      </c>
      <c r="G808" s="82">
        <f>83</f>
        <v>83</v>
      </c>
      <c r="H808" s="79"/>
      <c r="I808" s="79"/>
      <c r="J808" s="79"/>
      <c r="K808" s="79"/>
      <c r="L808" s="79"/>
      <c r="M808" s="79"/>
      <c r="N808" s="79"/>
      <c r="O808" s="79"/>
      <c r="P808" s="79"/>
      <c r="Q808" s="79">
        <f t="shared" si="36"/>
        <v>83</v>
      </c>
      <c r="R808" s="79">
        <f t="shared" si="37"/>
        <v>0</v>
      </c>
      <c r="S808" s="79">
        <f t="shared" si="38"/>
        <v>83</v>
      </c>
    </row>
    <row r="809" spans="1:19" x14ac:dyDescent="0.2">
      <c r="A809" s="102" t="s">
        <v>5856</v>
      </c>
      <c r="B809" s="71" t="s">
        <v>2217</v>
      </c>
      <c r="C809" s="76">
        <v>512</v>
      </c>
      <c r="D809" s="72" t="s">
        <v>5935</v>
      </c>
      <c r="E809" s="73" t="s">
        <v>19</v>
      </c>
      <c r="F809" s="75">
        <v>42351</v>
      </c>
      <c r="G809" s="82">
        <f>41.3</f>
        <v>41.3</v>
      </c>
      <c r="H809" s="79"/>
      <c r="I809" s="79"/>
      <c r="J809" s="79"/>
      <c r="K809" s="79"/>
      <c r="L809" s="79"/>
      <c r="M809" s="79"/>
      <c r="N809" s="79"/>
      <c r="O809" s="79"/>
      <c r="P809" s="79"/>
      <c r="Q809" s="79">
        <f t="shared" si="36"/>
        <v>41.3</v>
      </c>
      <c r="R809" s="79">
        <f t="shared" si="37"/>
        <v>0</v>
      </c>
      <c r="S809" s="79">
        <f t="shared" si="38"/>
        <v>41.3</v>
      </c>
    </row>
    <row r="810" spans="1:19" x14ac:dyDescent="0.2">
      <c r="A810" s="102" t="s">
        <v>5857</v>
      </c>
      <c r="B810" s="71" t="s">
        <v>5890</v>
      </c>
      <c r="C810" s="76">
        <v>513</v>
      </c>
      <c r="D810" s="73" t="s">
        <v>5936</v>
      </c>
      <c r="E810" s="73" t="s">
        <v>19</v>
      </c>
      <c r="F810" s="75">
        <v>42351</v>
      </c>
      <c r="G810" s="82">
        <f>48.9</f>
        <v>48.9</v>
      </c>
      <c r="H810" s="79"/>
      <c r="I810" s="79"/>
      <c r="J810" s="79"/>
      <c r="K810" s="79"/>
      <c r="L810" s="79"/>
      <c r="M810" s="79"/>
      <c r="N810" s="79"/>
      <c r="O810" s="79"/>
      <c r="P810" s="79"/>
      <c r="Q810" s="79">
        <f t="shared" si="36"/>
        <v>48.9</v>
      </c>
      <c r="R810" s="79">
        <f t="shared" si="37"/>
        <v>0</v>
      </c>
      <c r="S810" s="79">
        <f t="shared" si="38"/>
        <v>48.9</v>
      </c>
    </row>
    <row r="811" spans="1:19" x14ac:dyDescent="0.2">
      <c r="A811" s="102" t="s">
        <v>5858</v>
      </c>
      <c r="B811" s="71" t="s">
        <v>5891</v>
      </c>
      <c r="C811" s="76">
        <v>514</v>
      </c>
      <c r="D811" s="72" t="s">
        <v>5937</v>
      </c>
      <c r="E811" s="73" t="s">
        <v>19</v>
      </c>
      <c r="F811" s="75">
        <v>42352</v>
      </c>
      <c r="G811" s="82"/>
      <c r="H811" s="79"/>
      <c r="I811" s="79"/>
      <c r="J811" s="79"/>
      <c r="K811" s="79"/>
      <c r="L811" s="79"/>
      <c r="M811" s="79"/>
      <c r="N811" s="79"/>
      <c r="O811" s="79"/>
      <c r="P811" s="79"/>
      <c r="Q811" s="79">
        <f t="shared" si="36"/>
        <v>0</v>
      </c>
      <c r="R811" s="79">
        <f t="shared" si="37"/>
        <v>0</v>
      </c>
      <c r="S811" s="79">
        <f t="shared" si="38"/>
        <v>0</v>
      </c>
    </row>
    <row r="812" spans="1:19" x14ac:dyDescent="0.2">
      <c r="A812" s="102" t="s">
        <v>5859</v>
      </c>
      <c r="B812" s="71" t="s">
        <v>5892</v>
      </c>
      <c r="C812" s="76">
        <v>515</v>
      </c>
      <c r="D812" s="72" t="s">
        <v>5938</v>
      </c>
      <c r="E812" s="73" t="s">
        <v>19</v>
      </c>
      <c r="F812" s="75">
        <v>42352</v>
      </c>
      <c r="G812" s="82">
        <f>48.6</f>
        <v>48.6</v>
      </c>
      <c r="H812" s="79"/>
      <c r="I812" s="79"/>
      <c r="J812" s="79"/>
      <c r="K812" s="79"/>
      <c r="L812" s="79"/>
      <c r="M812" s="79"/>
      <c r="N812" s="79"/>
      <c r="O812" s="79"/>
      <c r="P812" s="79"/>
      <c r="Q812" s="79">
        <f t="shared" si="36"/>
        <v>48.6</v>
      </c>
      <c r="R812" s="79">
        <f t="shared" si="37"/>
        <v>0</v>
      </c>
      <c r="S812" s="79">
        <f t="shared" si="38"/>
        <v>48.6</v>
      </c>
    </row>
    <row r="813" spans="1:19" x14ac:dyDescent="0.2">
      <c r="A813" s="102" t="s">
        <v>5860</v>
      </c>
      <c r="B813" s="71" t="s">
        <v>5893</v>
      </c>
      <c r="C813" s="76">
        <v>516</v>
      </c>
      <c r="D813" s="72" t="s">
        <v>5939</v>
      </c>
      <c r="E813" s="73" t="s">
        <v>19</v>
      </c>
      <c r="F813" s="75">
        <v>42352</v>
      </c>
      <c r="G813" s="82">
        <f>293.2+254.76</f>
        <v>547.96</v>
      </c>
      <c r="H813" s="79"/>
      <c r="I813" s="79"/>
      <c r="J813" s="79"/>
      <c r="K813" s="79"/>
      <c r="L813" s="79"/>
      <c r="M813" s="79"/>
      <c r="N813" s="79"/>
      <c r="O813" s="79"/>
      <c r="P813" s="79"/>
      <c r="Q813" s="79">
        <f t="shared" si="36"/>
        <v>547.96</v>
      </c>
      <c r="R813" s="79">
        <f t="shared" si="37"/>
        <v>0</v>
      </c>
      <c r="S813" s="79">
        <f t="shared" si="38"/>
        <v>547.96</v>
      </c>
    </row>
    <row r="814" spans="1:19" x14ac:dyDescent="0.2">
      <c r="A814" s="102" t="s">
        <v>5861</v>
      </c>
      <c r="B814" s="71" t="s">
        <v>5894</v>
      </c>
      <c r="C814" s="76">
        <v>517</v>
      </c>
      <c r="D814" s="72" t="s">
        <v>5940</v>
      </c>
      <c r="E814" s="73" t="s">
        <v>19</v>
      </c>
      <c r="F814" s="75">
        <v>42352</v>
      </c>
      <c r="G814" s="82">
        <f>266.3</f>
        <v>266.3</v>
      </c>
      <c r="H814" s="79"/>
      <c r="I814" s="79"/>
      <c r="J814" s="79"/>
      <c r="K814" s="79"/>
      <c r="L814" s="79"/>
      <c r="M814" s="79"/>
      <c r="N814" s="79"/>
      <c r="O814" s="79"/>
      <c r="P814" s="79"/>
      <c r="Q814" s="79">
        <f t="shared" si="36"/>
        <v>266.3</v>
      </c>
      <c r="R814" s="79">
        <f t="shared" si="37"/>
        <v>0</v>
      </c>
      <c r="S814" s="79">
        <f t="shared" si="38"/>
        <v>266.3</v>
      </c>
    </row>
    <row r="815" spans="1:19" x14ac:dyDescent="0.2">
      <c r="A815" s="102" t="s">
        <v>5862</v>
      </c>
      <c r="B815" s="71" t="s">
        <v>5895</v>
      </c>
      <c r="C815" s="76">
        <v>518</v>
      </c>
      <c r="D815" s="72" t="s">
        <v>5941</v>
      </c>
      <c r="E815" s="73" t="s">
        <v>19</v>
      </c>
      <c r="F815" s="75">
        <v>42353</v>
      </c>
      <c r="G815" s="82">
        <f>103.25</f>
        <v>103.25</v>
      </c>
      <c r="H815" s="79"/>
      <c r="I815" s="79"/>
      <c r="J815" s="79"/>
      <c r="K815" s="79"/>
      <c r="L815" s="79"/>
      <c r="M815" s="79"/>
      <c r="N815" s="79"/>
      <c r="O815" s="79"/>
      <c r="P815" s="79"/>
      <c r="Q815" s="79">
        <f t="shared" si="36"/>
        <v>103.25</v>
      </c>
      <c r="R815" s="79">
        <f t="shared" si="37"/>
        <v>0</v>
      </c>
      <c r="S815" s="79">
        <f t="shared" si="38"/>
        <v>103.25</v>
      </c>
    </row>
    <row r="816" spans="1:19" x14ac:dyDescent="0.2">
      <c r="A816" s="102" t="s">
        <v>5863</v>
      </c>
      <c r="B816" s="71" t="s">
        <v>5896</v>
      </c>
      <c r="C816" s="76">
        <v>519</v>
      </c>
      <c r="D816" s="72" t="s">
        <v>5942</v>
      </c>
      <c r="E816" s="73" t="s">
        <v>19</v>
      </c>
      <c r="F816" s="75">
        <v>42354</v>
      </c>
      <c r="G816" s="82">
        <f>98</f>
        <v>98</v>
      </c>
      <c r="H816" s="79"/>
      <c r="I816" s="79"/>
      <c r="J816" s="79"/>
      <c r="K816" s="79"/>
      <c r="L816" s="79"/>
      <c r="M816" s="79"/>
      <c r="N816" s="79"/>
      <c r="O816" s="79"/>
      <c r="P816" s="79"/>
      <c r="Q816" s="79">
        <f t="shared" si="36"/>
        <v>98</v>
      </c>
      <c r="R816" s="79">
        <f t="shared" si="37"/>
        <v>0</v>
      </c>
      <c r="S816" s="79">
        <f t="shared" si="38"/>
        <v>98</v>
      </c>
    </row>
    <row r="817" spans="1:19" x14ac:dyDescent="0.2">
      <c r="A817" s="102" t="s">
        <v>5864</v>
      </c>
      <c r="B817" s="71" t="s">
        <v>5897</v>
      </c>
      <c r="C817" s="76">
        <v>520</v>
      </c>
      <c r="D817" s="72" t="s">
        <v>5943</v>
      </c>
      <c r="E817" s="73" t="s">
        <v>19</v>
      </c>
      <c r="F817" s="75">
        <v>42354</v>
      </c>
      <c r="G817" s="82">
        <f>365.8+436.6+84.08+91.95+103.13+91.95+464.19+103.02</f>
        <v>1740.7200000000003</v>
      </c>
      <c r="H817" s="79"/>
      <c r="I817" s="79">
        <f>2250</f>
        <v>2250</v>
      </c>
      <c r="J817" s="79"/>
      <c r="K817" s="79"/>
      <c r="L817" s="79"/>
      <c r="M817" s="79"/>
      <c r="N817" s="79"/>
      <c r="O817" s="79"/>
      <c r="P817" s="79"/>
      <c r="Q817" s="79">
        <f t="shared" si="36"/>
        <v>3990.7200000000003</v>
      </c>
      <c r="R817" s="79">
        <f t="shared" si="37"/>
        <v>0</v>
      </c>
      <c r="S817" s="79">
        <f t="shared" si="38"/>
        <v>3990.7200000000003</v>
      </c>
    </row>
    <row r="818" spans="1:19" x14ac:dyDescent="0.2">
      <c r="A818" s="102" t="s">
        <v>5865</v>
      </c>
      <c r="B818" s="71" t="s">
        <v>5898</v>
      </c>
      <c r="C818" s="76">
        <v>521</v>
      </c>
      <c r="D818" s="72" t="s">
        <v>5944</v>
      </c>
      <c r="E818" s="73" t="s">
        <v>19</v>
      </c>
      <c r="F818" s="75">
        <v>42355</v>
      </c>
      <c r="G818" s="82">
        <f>69.51+69.15+25.65+41.3+103.68+41.3+1539.24</f>
        <v>1889.83</v>
      </c>
      <c r="H818" s="79"/>
      <c r="I818" s="79">
        <f>750+750</f>
        <v>1500</v>
      </c>
      <c r="J818" s="79"/>
      <c r="K818" s="79"/>
      <c r="L818" s="79"/>
      <c r="M818" s="79"/>
      <c r="N818" s="79"/>
      <c r="O818" s="79"/>
      <c r="P818" s="79"/>
      <c r="Q818" s="79">
        <f t="shared" si="36"/>
        <v>3389.83</v>
      </c>
      <c r="R818" s="79">
        <f t="shared" si="37"/>
        <v>0</v>
      </c>
      <c r="S818" s="79">
        <f t="shared" si="38"/>
        <v>3389.83</v>
      </c>
    </row>
    <row r="819" spans="1:19" x14ac:dyDescent="0.2">
      <c r="A819" s="102" t="s">
        <v>5866</v>
      </c>
      <c r="B819" s="71" t="s">
        <v>5899</v>
      </c>
      <c r="C819" s="76">
        <v>522</v>
      </c>
      <c r="D819" s="72" t="s">
        <v>5945</v>
      </c>
      <c r="E819" s="73" t="s">
        <v>19</v>
      </c>
      <c r="F819" s="75">
        <v>42356</v>
      </c>
      <c r="G819" s="82"/>
      <c r="H819" s="79"/>
      <c r="I819" s="79"/>
      <c r="J819" s="79"/>
      <c r="K819" s="79"/>
      <c r="L819" s="79"/>
      <c r="M819" s="79"/>
      <c r="N819" s="79"/>
      <c r="O819" s="79"/>
      <c r="P819" s="79"/>
      <c r="Q819" s="79">
        <f t="shared" si="36"/>
        <v>0</v>
      </c>
      <c r="R819" s="79">
        <f t="shared" si="37"/>
        <v>0</v>
      </c>
      <c r="S819" s="79">
        <f t="shared" si="38"/>
        <v>0</v>
      </c>
    </row>
    <row r="820" spans="1:19" x14ac:dyDescent="0.2">
      <c r="A820" s="102" t="s">
        <v>5867</v>
      </c>
      <c r="B820" s="71" t="s">
        <v>5900</v>
      </c>
      <c r="C820" s="76">
        <v>523</v>
      </c>
      <c r="D820" s="72" t="s">
        <v>5946</v>
      </c>
      <c r="E820" s="73" t="s">
        <v>19</v>
      </c>
      <c r="F820" s="75">
        <v>42357</v>
      </c>
      <c r="G820" s="82">
        <f>312.72+240+61.5+1032.62+135.7+238</f>
        <v>2020.54</v>
      </c>
      <c r="H820" s="79"/>
      <c r="I820" s="79">
        <v>750</v>
      </c>
      <c r="J820" s="79"/>
      <c r="K820" s="79"/>
      <c r="L820" s="79"/>
      <c r="M820" s="79"/>
      <c r="N820" s="79"/>
      <c r="O820" s="79"/>
      <c r="P820" s="79"/>
      <c r="Q820" s="79">
        <f t="shared" si="36"/>
        <v>2770.54</v>
      </c>
      <c r="R820" s="79">
        <f t="shared" si="37"/>
        <v>0</v>
      </c>
      <c r="S820" s="79">
        <f t="shared" si="38"/>
        <v>2770.54</v>
      </c>
    </row>
    <row r="821" spans="1:19" x14ac:dyDescent="0.2">
      <c r="A821" s="102" t="s">
        <v>5868</v>
      </c>
      <c r="B821" s="71" t="s">
        <v>5901</v>
      </c>
      <c r="C821" s="76">
        <v>524</v>
      </c>
      <c r="D821" s="72" t="s">
        <v>5958</v>
      </c>
      <c r="E821" s="73" t="s">
        <v>19</v>
      </c>
      <c r="F821" s="75">
        <v>42359</v>
      </c>
      <c r="G821" s="82"/>
      <c r="H821" s="79"/>
      <c r="I821" s="79"/>
      <c r="J821" s="79"/>
      <c r="K821" s="79"/>
      <c r="L821" s="79"/>
      <c r="M821" s="79">
        <v>3850</v>
      </c>
      <c r="N821" s="79"/>
      <c r="O821" s="79">
        <v>15400</v>
      </c>
      <c r="P821" s="79"/>
      <c r="Q821" s="79">
        <f t="shared" si="36"/>
        <v>19250</v>
      </c>
      <c r="R821" s="79">
        <f t="shared" si="37"/>
        <v>0</v>
      </c>
      <c r="S821" s="79">
        <f t="shared" si="38"/>
        <v>19250</v>
      </c>
    </row>
    <row r="822" spans="1:19" x14ac:dyDescent="0.2">
      <c r="A822" s="102" t="s">
        <v>5869</v>
      </c>
      <c r="B822" s="71" t="s">
        <v>5902</v>
      </c>
      <c r="C822" s="76">
        <v>525</v>
      </c>
      <c r="D822" s="72" t="s">
        <v>5947</v>
      </c>
      <c r="E822" s="73" t="s">
        <v>19</v>
      </c>
      <c r="F822" s="75">
        <v>42360</v>
      </c>
      <c r="G822" s="82">
        <f>196.03</f>
        <v>196.03</v>
      </c>
      <c r="H822" s="79"/>
      <c r="I822" s="79"/>
      <c r="J822" s="79"/>
      <c r="K822" s="79"/>
      <c r="L822" s="79"/>
      <c r="M822" s="79"/>
      <c r="N822" s="79"/>
      <c r="O822" s="79"/>
      <c r="P822" s="79"/>
      <c r="Q822" s="79">
        <f t="shared" si="36"/>
        <v>196.03</v>
      </c>
      <c r="R822" s="79">
        <f t="shared" si="37"/>
        <v>0</v>
      </c>
      <c r="S822" s="79">
        <f t="shared" si="38"/>
        <v>196.03</v>
      </c>
    </row>
    <row r="823" spans="1:19" x14ac:dyDescent="0.2">
      <c r="A823" s="102"/>
      <c r="B823" s="71"/>
      <c r="C823" s="76">
        <v>526</v>
      </c>
      <c r="D823" s="72" t="s">
        <v>4784</v>
      </c>
      <c r="E823" s="73"/>
      <c r="F823" s="75"/>
      <c r="G823" s="82"/>
      <c r="H823" s="79"/>
      <c r="I823" s="79"/>
      <c r="J823" s="79"/>
      <c r="K823" s="79"/>
      <c r="L823" s="79"/>
      <c r="M823" s="79"/>
      <c r="N823" s="79"/>
      <c r="O823" s="79"/>
      <c r="P823" s="79"/>
      <c r="Q823" s="79">
        <f t="shared" si="36"/>
        <v>0</v>
      </c>
      <c r="R823" s="79">
        <f t="shared" si="37"/>
        <v>0</v>
      </c>
      <c r="S823" s="79">
        <f t="shared" si="38"/>
        <v>0</v>
      </c>
    </row>
    <row r="824" spans="1:19" x14ac:dyDescent="0.2">
      <c r="A824" s="102" t="s">
        <v>5870</v>
      </c>
      <c r="B824" s="71" t="s">
        <v>5903</v>
      </c>
      <c r="C824" s="76">
        <v>527</v>
      </c>
      <c r="D824" s="73" t="s">
        <v>5948</v>
      </c>
      <c r="E824" s="73" t="s">
        <v>19</v>
      </c>
      <c r="F824" s="75">
        <v>42362</v>
      </c>
      <c r="G824" s="82">
        <f>48.6</f>
        <v>48.6</v>
      </c>
      <c r="H824" s="79"/>
      <c r="I824" s="79"/>
      <c r="J824" s="79"/>
      <c r="K824" s="79"/>
      <c r="L824" s="79"/>
      <c r="M824" s="79"/>
      <c r="N824" s="79"/>
      <c r="O824" s="79"/>
      <c r="P824" s="79"/>
      <c r="Q824" s="79">
        <f t="shared" si="36"/>
        <v>48.6</v>
      </c>
      <c r="R824" s="79">
        <f t="shared" si="37"/>
        <v>0</v>
      </c>
      <c r="S824" s="79">
        <f t="shared" si="38"/>
        <v>48.6</v>
      </c>
    </row>
    <row r="825" spans="1:19" x14ac:dyDescent="0.2">
      <c r="A825" s="102" t="s">
        <v>5871</v>
      </c>
      <c r="B825" s="71" t="s">
        <v>5904</v>
      </c>
      <c r="C825" s="76">
        <v>528</v>
      </c>
      <c r="D825" s="73" t="s">
        <v>5949</v>
      </c>
      <c r="E825" s="73" t="s">
        <v>19</v>
      </c>
      <c r="F825" s="75">
        <v>42362</v>
      </c>
      <c r="G825" s="82">
        <f>271.6</f>
        <v>271.60000000000002</v>
      </c>
      <c r="H825" s="79"/>
      <c r="I825" s="79"/>
      <c r="J825" s="79"/>
      <c r="K825" s="79"/>
      <c r="L825" s="79"/>
      <c r="M825" s="79"/>
      <c r="N825" s="79"/>
      <c r="O825" s="79"/>
      <c r="P825" s="79"/>
      <c r="Q825" s="79">
        <f t="shared" si="36"/>
        <v>271.60000000000002</v>
      </c>
      <c r="R825" s="79">
        <f t="shared" si="37"/>
        <v>0</v>
      </c>
      <c r="S825" s="79">
        <f t="shared" si="38"/>
        <v>271.60000000000002</v>
      </c>
    </row>
    <row r="826" spans="1:19" x14ac:dyDescent="0.2">
      <c r="A826" s="102" t="s">
        <v>5871</v>
      </c>
      <c r="B826" s="71" t="s">
        <v>5904</v>
      </c>
      <c r="C826" s="76">
        <v>528</v>
      </c>
      <c r="D826" s="73" t="s">
        <v>5950</v>
      </c>
      <c r="E826" s="73" t="s">
        <v>19</v>
      </c>
      <c r="F826" s="75">
        <v>42362</v>
      </c>
      <c r="G826" s="82">
        <f>175.7</f>
        <v>175.7</v>
      </c>
      <c r="H826" s="79"/>
      <c r="I826" s="79"/>
      <c r="J826" s="79"/>
      <c r="K826" s="79"/>
      <c r="L826" s="79"/>
      <c r="M826" s="79"/>
      <c r="N826" s="79"/>
      <c r="O826" s="79"/>
      <c r="P826" s="79"/>
      <c r="Q826" s="79">
        <f t="shared" si="36"/>
        <v>175.7</v>
      </c>
      <c r="R826" s="79">
        <f t="shared" si="37"/>
        <v>0</v>
      </c>
      <c r="S826" s="79">
        <f t="shared" si="38"/>
        <v>175.7</v>
      </c>
    </row>
    <row r="827" spans="1:19" x14ac:dyDescent="0.2">
      <c r="A827" s="102" t="s">
        <v>5872</v>
      </c>
      <c r="B827" s="71" t="s">
        <v>5905</v>
      </c>
      <c r="C827" s="76">
        <v>529</v>
      </c>
      <c r="D827" s="73" t="s">
        <v>5951</v>
      </c>
      <c r="E827" s="73" t="s">
        <v>19</v>
      </c>
      <c r="F827" s="75">
        <v>42364</v>
      </c>
      <c r="G827" s="82"/>
      <c r="H827" s="79"/>
      <c r="I827" s="79"/>
      <c r="J827" s="79"/>
      <c r="K827" s="79"/>
      <c r="L827" s="79"/>
      <c r="M827" s="79"/>
      <c r="N827" s="79"/>
      <c r="O827" s="79"/>
      <c r="P827" s="79"/>
      <c r="Q827" s="79">
        <f t="shared" si="36"/>
        <v>0</v>
      </c>
      <c r="R827" s="79">
        <f t="shared" si="37"/>
        <v>0</v>
      </c>
      <c r="S827" s="79">
        <f t="shared" si="38"/>
        <v>0</v>
      </c>
    </row>
    <row r="828" spans="1:19" x14ac:dyDescent="0.2">
      <c r="A828" s="102" t="s">
        <v>5873</v>
      </c>
      <c r="B828" s="71" t="s">
        <v>5906</v>
      </c>
      <c r="C828" s="76">
        <v>530</v>
      </c>
      <c r="D828" s="73" t="s">
        <v>5952</v>
      </c>
      <c r="E828" s="73" t="s">
        <v>19</v>
      </c>
      <c r="F828" s="75">
        <v>42364</v>
      </c>
      <c r="G828" s="82">
        <f>41.3+410.5</f>
        <v>451.8</v>
      </c>
      <c r="H828" s="79"/>
      <c r="I828" s="79"/>
      <c r="J828" s="79"/>
      <c r="K828" s="79"/>
      <c r="L828" s="79"/>
      <c r="M828" s="79"/>
      <c r="N828" s="79"/>
      <c r="O828" s="79"/>
      <c r="P828" s="79"/>
      <c r="Q828" s="79">
        <f t="shared" si="36"/>
        <v>451.8</v>
      </c>
      <c r="R828" s="79">
        <f t="shared" si="37"/>
        <v>0</v>
      </c>
      <c r="S828" s="79">
        <f t="shared" si="38"/>
        <v>451.8</v>
      </c>
    </row>
    <row r="829" spans="1:19" x14ac:dyDescent="0.2">
      <c r="A829" s="102" t="s">
        <v>5874</v>
      </c>
      <c r="B829" s="71" t="s">
        <v>5907</v>
      </c>
      <c r="C829" s="76">
        <v>531</v>
      </c>
      <c r="D829" s="73" t="s">
        <v>5953</v>
      </c>
      <c r="E829" s="73" t="s">
        <v>19</v>
      </c>
      <c r="F829" s="75">
        <v>42365</v>
      </c>
      <c r="G829" s="82">
        <f>211.46</f>
        <v>211.46</v>
      </c>
      <c r="H829" s="79"/>
      <c r="I829" s="79"/>
      <c r="J829" s="79"/>
      <c r="K829" s="79"/>
      <c r="L829" s="79"/>
      <c r="M829" s="79"/>
      <c r="N829" s="79"/>
      <c r="O829" s="79"/>
      <c r="P829" s="79"/>
      <c r="Q829" s="79">
        <f t="shared" si="36"/>
        <v>211.46</v>
      </c>
      <c r="R829" s="79">
        <f t="shared" si="37"/>
        <v>0</v>
      </c>
      <c r="S829" s="79">
        <f t="shared" si="38"/>
        <v>211.46</v>
      </c>
    </row>
    <row r="830" spans="1:19" x14ac:dyDescent="0.2">
      <c r="A830" s="102" t="s">
        <v>5875</v>
      </c>
      <c r="B830" s="71" t="s">
        <v>5908</v>
      </c>
      <c r="C830" s="76">
        <v>532</v>
      </c>
      <c r="D830" s="72" t="s">
        <v>5954</v>
      </c>
      <c r="E830" s="73" t="s">
        <v>19</v>
      </c>
      <c r="F830" s="75">
        <v>42366</v>
      </c>
      <c r="G830" s="82">
        <f>98.34</f>
        <v>98.34</v>
      </c>
      <c r="H830" s="79"/>
      <c r="I830" s="79"/>
      <c r="J830" s="79"/>
      <c r="K830" s="79"/>
      <c r="L830" s="79"/>
      <c r="M830" s="79"/>
      <c r="N830" s="79"/>
      <c r="O830" s="79"/>
      <c r="P830" s="79"/>
      <c r="Q830" s="79">
        <f t="shared" si="36"/>
        <v>98.34</v>
      </c>
      <c r="R830" s="79">
        <f t="shared" si="37"/>
        <v>0</v>
      </c>
      <c r="S830" s="79">
        <f t="shared" si="38"/>
        <v>98.34</v>
      </c>
    </row>
    <row r="831" spans="1:19" x14ac:dyDescent="0.2">
      <c r="A831" s="102" t="s">
        <v>5876</v>
      </c>
      <c r="B831" s="71" t="s">
        <v>5909</v>
      </c>
      <c r="C831" s="76">
        <v>533</v>
      </c>
      <c r="D831" s="72" t="s">
        <v>5955</v>
      </c>
      <c r="E831" s="73" t="s">
        <v>19</v>
      </c>
      <c r="F831" s="75">
        <v>42366</v>
      </c>
      <c r="G831" s="82">
        <f>92.57</f>
        <v>92.57</v>
      </c>
      <c r="H831" s="79"/>
      <c r="I831" s="79"/>
      <c r="J831" s="79"/>
      <c r="K831" s="79"/>
      <c r="L831" s="79"/>
      <c r="M831" s="79"/>
      <c r="N831" s="79"/>
      <c r="O831" s="79"/>
      <c r="P831" s="79"/>
      <c r="Q831" s="79">
        <f t="shared" si="36"/>
        <v>92.57</v>
      </c>
      <c r="R831" s="79">
        <f t="shared" si="37"/>
        <v>0</v>
      </c>
      <c r="S831" s="79">
        <f t="shared" si="38"/>
        <v>92.57</v>
      </c>
    </row>
    <row r="832" spans="1:19" x14ac:dyDescent="0.2">
      <c r="A832" s="102" t="s">
        <v>5877</v>
      </c>
      <c r="B832" s="71" t="s">
        <v>5910</v>
      </c>
      <c r="C832" s="76">
        <v>534</v>
      </c>
      <c r="D832" s="72" t="s">
        <v>5956</v>
      </c>
      <c r="E832" s="73" t="s">
        <v>19</v>
      </c>
      <c r="F832" s="75">
        <v>42366</v>
      </c>
      <c r="G832" s="82">
        <f>1757.03+131.69+41.3+113.34+218.42+196.3+157.72+157.72+157.72+157.72+139.01+76.58+76.58</f>
        <v>3381.1299999999992</v>
      </c>
      <c r="H832" s="79"/>
      <c r="I832" s="79"/>
      <c r="J832" s="79"/>
      <c r="K832" s="79"/>
      <c r="L832" s="79"/>
      <c r="M832" s="79"/>
      <c r="N832" s="79"/>
      <c r="O832" s="79"/>
      <c r="P832" s="79"/>
      <c r="Q832" s="79">
        <f t="shared" si="36"/>
        <v>3381.1299999999992</v>
      </c>
      <c r="R832" s="79">
        <f t="shared" si="37"/>
        <v>0</v>
      </c>
      <c r="S832" s="79">
        <f t="shared" si="38"/>
        <v>3381.1299999999992</v>
      </c>
    </row>
    <row r="833" spans="7:19" x14ac:dyDescent="0.2">
      <c r="G833" s="84"/>
      <c r="H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</row>
    <row r="834" spans="7:19" x14ac:dyDescent="0.2">
      <c r="G834" s="84">
        <f t="shared" ref="G834:R834" si="39">SUM(G8:G833)</f>
        <v>730753.43899999966</v>
      </c>
      <c r="H834" s="84">
        <f t="shared" si="39"/>
        <v>0</v>
      </c>
      <c r="I834" s="84">
        <f t="shared" si="39"/>
        <v>168036.67</v>
      </c>
      <c r="J834" s="84">
        <f t="shared" si="39"/>
        <v>0</v>
      </c>
      <c r="K834" s="84">
        <f t="shared" si="39"/>
        <v>0</v>
      </c>
      <c r="L834" s="84">
        <f t="shared" si="39"/>
        <v>0</v>
      </c>
      <c r="M834" s="84">
        <f t="shared" si="39"/>
        <v>46100</v>
      </c>
      <c r="N834" s="84">
        <f t="shared" si="39"/>
        <v>0</v>
      </c>
      <c r="O834" s="84">
        <f t="shared" si="39"/>
        <v>184800</v>
      </c>
      <c r="P834" s="84">
        <f t="shared" si="39"/>
        <v>0</v>
      </c>
      <c r="Q834" s="84">
        <f t="shared" si="39"/>
        <v>1129690.1089999997</v>
      </c>
      <c r="R834" s="84">
        <f t="shared" si="39"/>
        <v>0</v>
      </c>
      <c r="S834" s="84">
        <f>Q834+R834</f>
        <v>1129690.1089999997</v>
      </c>
    </row>
  </sheetData>
  <mergeCells count="26">
    <mergeCell ref="G5:G7"/>
    <mergeCell ref="H5:H7"/>
    <mergeCell ref="I5:I7"/>
    <mergeCell ref="J5:J7"/>
    <mergeCell ref="K5:K7"/>
    <mergeCell ref="L5:L7"/>
    <mergeCell ref="K4:L4"/>
    <mergeCell ref="M4:N4"/>
    <mergeCell ref="O4:P4"/>
    <mergeCell ref="Q4:Q7"/>
    <mergeCell ref="A1:S1"/>
    <mergeCell ref="A3:S3"/>
    <mergeCell ref="A4:A7"/>
    <mergeCell ref="B4:B7"/>
    <mergeCell ref="C4:C7"/>
    <mergeCell ref="D4:D7"/>
    <mergeCell ref="E4:E7"/>
    <mergeCell ref="F4:F7"/>
    <mergeCell ref="G4:H4"/>
    <mergeCell ref="I4:J4"/>
    <mergeCell ref="R4:R7"/>
    <mergeCell ref="S4:S7"/>
    <mergeCell ref="M5:M7"/>
    <mergeCell ref="N5:N7"/>
    <mergeCell ref="O5:O7"/>
    <mergeCell ref="P5:P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2"/>
  <sheetViews>
    <sheetView workbookViewId="0">
      <pane xSplit="4" ySplit="7" topLeftCell="E875" activePane="bottomRight" state="frozen"/>
      <selection activeCell="D3" sqref="D3"/>
      <selection pane="topRight" activeCell="D3" sqref="D3"/>
      <selection pane="bottomLeft" activeCell="D3" sqref="D3"/>
      <selection pane="bottomRight" activeCell="A3" sqref="A3:S3"/>
    </sheetView>
  </sheetViews>
  <sheetFormatPr baseColWidth="10" defaultRowHeight="15" x14ac:dyDescent="0.25"/>
  <cols>
    <col min="1" max="1" width="11.42578125" style="17"/>
    <col min="2" max="2" width="11.42578125" style="16"/>
    <col min="4" max="4" width="23.7109375" customWidth="1"/>
    <col min="5" max="5" width="15.42578125" customWidth="1"/>
    <col min="9" max="9" width="11.42578125" style="146"/>
    <col min="11" max="11" width="11.42578125" style="11"/>
  </cols>
  <sheetData>
    <row r="1" spans="1:19" s="19" customFormat="1" ht="21" customHeight="1" x14ac:dyDescent="0.4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</row>
    <row r="2" spans="1:19" s="19" customFormat="1" ht="15.75" thickBot="1" x14ac:dyDescent="0.3">
      <c r="A2" s="20"/>
      <c r="B2" s="21"/>
      <c r="C2" s="21"/>
      <c r="D2" s="22"/>
      <c r="E2" s="22"/>
      <c r="F2" s="23"/>
      <c r="G2" s="22"/>
      <c r="H2" s="22"/>
      <c r="I2" s="135"/>
      <c r="J2" s="22"/>
      <c r="K2" s="70"/>
      <c r="L2" s="22"/>
      <c r="M2" s="22"/>
      <c r="N2" s="22"/>
      <c r="O2" s="22"/>
      <c r="P2" s="22"/>
      <c r="Q2" s="22"/>
      <c r="R2" s="22"/>
      <c r="S2" s="22"/>
    </row>
    <row r="3" spans="1:19" s="77" customFormat="1" ht="16.5" thickBot="1" x14ac:dyDescent="0.25">
      <c r="A3" s="198" t="s">
        <v>9393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</row>
    <row r="4" spans="1:19" ht="15" customHeight="1" x14ac:dyDescent="0.25">
      <c r="A4" s="252" t="s">
        <v>0</v>
      </c>
      <c r="B4" s="243" t="s">
        <v>1</v>
      </c>
      <c r="C4" s="244" t="s">
        <v>2</v>
      </c>
      <c r="D4" s="244" t="s">
        <v>3</v>
      </c>
      <c r="E4" s="244" t="s">
        <v>4</v>
      </c>
      <c r="F4" s="257" t="s">
        <v>5</v>
      </c>
      <c r="G4" s="243" t="s">
        <v>6</v>
      </c>
      <c r="H4" s="243"/>
      <c r="I4" s="243" t="s">
        <v>7</v>
      </c>
      <c r="J4" s="243"/>
      <c r="K4" s="243" t="s">
        <v>8</v>
      </c>
      <c r="L4" s="243"/>
      <c r="M4" s="243" t="s">
        <v>9</v>
      </c>
      <c r="N4" s="243"/>
      <c r="O4" s="243" t="s">
        <v>10</v>
      </c>
      <c r="P4" s="243"/>
      <c r="Q4" s="244" t="s">
        <v>11</v>
      </c>
      <c r="R4" s="244" t="s">
        <v>12</v>
      </c>
      <c r="S4" s="245" t="s">
        <v>13</v>
      </c>
    </row>
    <row r="5" spans="1:19" x14ac:dyDescent="0.25">
      <c r="A5" s="253"/>
      <c r="B5" s="255"/>
      <c r="C5" s="240"/>
      <c r="D5" s="240"/>
      <c r="E5" s="240"/>
      <c r="F5" s="258"/>
      <c r="G5" s="240" t="s">
        <v>14</v>
      </c>
      <c r="H5" s="240" t="s">
        <v>15</v>
      </c>
      <c r="I5" s="250" t="s">
        <v>14</v>
      </c>
      <c r="J5" s="240" t="s">
        <v>15</v>
      </c>
      <c r="K5" s="248" t="s">
        <v>14</v>
      </c>
      <c r="L5" s="240" t="s">
        <v>15</v>
      </c>
      <c r="M5" s="240" t="s">
        <v>14</v>
      </c>
      <c r="N5" s="240" t="s">
        <v>15</v>
      </c>
      <c r="O5" s="240" t="s">
        <v>14</v>
      </c>
      <c r="P5" s="240" t="s">
        <v>15</v>
      </c>
      <c r="Q5" s="240"/>
      <c r="R5" s="240"/>
      <c r="S5" s="246"/>
    </row>
    <row r="6" spans="1:19" x14ac:dyDescent="0.25">
      <c r="A6" s="253"/>
      <c r="B6" s="255"/>
      <c r="C6" s="240"/>
      <c r="D6" s="240"/>
      <c r="E6" s="240"/>
      <c r="F6" s="258"/>
      <c r="G6" s="240"/>
      <c r="H6" s="240"/>
      <c r="I6" s="250"/>
      <c r="J6" s="240"/>
      <c r="K6" s="248"/>
      <c r="L6" s="240"/>
      <c r="M6" s="240"/>
      <c r="N6" s="240"/>
      <c r="O6" s="240"/>
      <c r="P6" s="240"/>
      <c r="Q6" s="240"/>
      <c r="R6" s="240"/>
      <c r="S6" s="246"/>
    </row>
    <row r="7" spans="1:19" x14ac:dyDescent="0.25">
      <c r="A7" s="254"/>
      <c r="B7" s="256"/>
      <c r="C7" s="241"/>
      <c r="D7" s="241"/>
      <c r="E7" s="241"/>
      <c r="F7" s="259"/>
      <c r="G7" s="241"/>
      <c r="H7" s="241"/>
      <c r="I7" s="251"/>
      <c r="J7" s="241"/>
      <c r="K7" s="249"/>
      <c r="L7" s="241"/>
      <c r="M7" s="241"/>
      <c r="N7" s="241"/>
      <c r="O7" s="241"/>
      <c r="P7" s="241"/>
      <c r="Q7" s="241"/>
      <c r="R7" s="241"/>
      <c r="S7" s="247"/>
    </row>
    <row r="8" spans="1:19" x14ac:dyDescent="0.25">
      <c r="A8" s="36" t="s">
        <v>16</v>
      </c>
      <c r="B8" s="4" t="s">
        <v>17</v>
      </c>
      <c r="C8" s="5">
        <v>1</v>
      </c>
      <c r="D8" s="6" t="s">
        <v>18</v>
      </c>
      <c r="E8" s="6" t="s">
        <v>19</v>
      </c>
      <c r="F8" s="37">
        <v>41640</v>
      </c>
      <c r="G8" s="25">
        <f>238+238</f>
        <v>476</v>
      </c>
      <c r="H8" s="18"/>
      <c r="I8" s="136"/>
      <c r="J8" s="18"/>
      <c r="K8" s="8"/>
      <c r="L8" s="18"/>
      <c r="M8" s="18"/>
      <c r="N8" s="18"/>
      <c r="O8" s="18"/>
      <c r="P8" s="18"/>
      <c r="Q8" s="18">
        <f>+G8+I8+K8+M8+O8</f>
        <v>476</v>
      </c>
      <c r="R8" s="18">
        <f>+H8+J8+L8+N8+P8</f>
        <v>0</v>
      </c>
      <c r="S8" s="18">
        <f>+Q8+R8</f>
        <v>476</v>
      </c>
    </row>
    <row r="9" spans="1:19" x14ac:dyDescent="0.25">
      <c r="A9" s="36" t="s">
        <v>20</v>
      </c>
      <c r="B9" s="4" t="s">
        <v>21</v>
      </c>
      <c r="C9" s="5">
        <v>2</v>
      </c>
      <c r="D9" s="6" t="s">
        <v>22</v>
      </c>
      <c r="E9" s="6" t="s">
        <v>19</v>
      </c>
      <c r="F9" s="37">
        <v>41642</v>
      </c>
      <c r="G9" s="25">
        <f>35+247</f>
        <v>282</v>
      </c>
      <c r="H9" s="18"/>
      <c r="I9" s="136"/>
      <c r="J9" s="18"/>
      <c r="K9" s="8"/>
      <c r="L9" s="18"/>
      <c r="M9" s="18"/>
      <c r="N9" s="18"/>
      <c r="O9" s="18"/>
      <c r="P9" s="18"/>
      <c r="Q9" s="18">
        <f t="shared" ref="Q9:Q72" si="0">+G9+I9+K9+M9+O9</f>
        <v>282</v>
      </c>
      <c r="R9" s="18">
        <f t="shared" ref="R9:R72" si="1">+H9+J9+L9+N9+P9</f>
        <v>0</v>
      </c>
      <c r="S9" s="18">
        <f t="shared" ref="S9:S72" si="2">+Q9+R9</f>
        <v>282</v>
      </c>
    </row>
    <row r="10" spans="1:19" x14ac:dyDescent="0.25">
      <c r="A10" s="36" t="s">
        <v>20</v>
      </c>
      <c r="B10" s="4" t="s">
        <v>21</v>
      </c>
      <c r="C10" s="5">
        <v>2</v>
      </c>
      <c r="D10" s="6" t="s">
        <v>23</v>
      </c>
      <c r="E10" s="6" t="s">
        <v>19</v>
      </c>
      <c r="F10" s="37">
        <v>41642</v>
      </c>
      <c r="G10" s="25">
        <f>35</f>
        <v>35</v>
      </c>
      <c r="H10" s="18"/>
      <c r="I10" s="136"/>
      <c r="J10" s="18"/>
      <c r="K10" s="8"/>
      <c r="L10" s="18"/>
      <c r="M10" s="18"/>
      <c r="N10" s="18"/>
      <c r="O10" s="18"/>
      <c r="P10" s="18"/>
      <c r="Q10" s="18">
        <f t="shared" si="0"/>
        <v>35</v>
      </c>
      <c r="R10" s="18">
        <f t="shared" si="1"/>
        <v>0</v>
      </c>
      <c r="S10" s="18">
        <f t="shared" si="2"/>
        <v>35</v>
      </c>
    </row>
    <row r="11" spans="1:19" x14ac:dyDescent="0.25">
      <c r="A11" s="36" t="s">
        <v>24</v>
      </c>
      <c r="B11" s="4" t="s">
        <v>25</v>
      </c>
      <c r="C11" s="5">
        <v>3</v>
      </c>
      <c r="D11" s="6" t="s">
        <v>26</v>
      </c>
      <c r="E11" s="6" t="s">
        <v>19</v>
      </c>
      <c r="F11" s="37">
        <v>41645</v>
      </c>
      <c r="G11" s="25">
        <f>2011.79+167.5</f>
        <v>2179.29</v>
      </c>
      <c r="H11" s="18"/>
      <c r="I11" s="136"/>
      <c r="J11" s="18"/>
      <c r="K11" s="8"/>
      <c r="L11" s="18"/>
      <c r="M11" s="18"/>
      <c r="N11" s="18"/>
      <c r="O11" s="18"/>
      <c r="P11" s="18"/>
      <c r="Q11" s="18">
        <f t="shared" si="0"/>
        <v>2179.29</v>
      </c>
      <c r="R11" s="18">
        <f t="shared" si="1"/>
        <v>0</v>
      </c>
      <c r="S11" s="18">
        <f t="shared" si="2"/>
        <v>2179.29</v>
      </c>
    </row>
    <row r="12" spans="1:19" x14ac:dyDescent="0.25">
      <c r="A12" s="36" t="s">
        <v>24</v>
      </c>
      <c r="B12" s="4" t="s">
        <v>25</v>
      </c>
      <c r="C12" s="5">
        <v>3</v>
      </c>
      <c r="D12" s="6" t="s">
        <v>27</v>
      </c>
      <c r="E12" s="6" t="s">
        <v>19</v>
      </c>
      <c r="F12" s="37">
        <v>41645</v>
      </c>
      <c r="G12" s="25">
        <v>122.2</v>
      </c>
      <c r="H12" s="18"/>
      <c r="I12" s="136"/>
      <c r="J12" s="18"/>
      <c r="K12" s="8"/>
      <c r="L12" s="18"/>
      <c r="M12" s="18"/>
      <c r="N12" s="18"/>
      <c r="O12" s="18"/>
      <c r="P12" s="18"/>
      <c r="Q12" s="18">
        <f t="shared" si="0"/>
        <v>122.2</v>
      </c>
      <c r="R12" s="18">
        <f t="shared" si="1"/>
        <v>0</v>
      </c>
      <c r="S12" s="18">
        <f t="shared" si="2"/>
        <v>122.2</v>
      </c>
    </row>
    <row r="13" spans="1:19" x14ac:dyDescent="0.25">
      <c r="A13" s="36" t="s">
        <v>24</v>
      </c>
      <c r="B13" s="4" t="s">
        <v>25</v>
      </c>
      <c r="C13" s="5">
        <v>3</v>
      </c>
      <c r="D13" s="6" t="s">
        <v>28</v>
      </c>
      <c r="E13" s="6" t="s">
        <v>19</v>
      </c>
      <c r="F13" s="37">
        <v>41645</v>
      </c>
      <c r="G13" s="25">
        <v>51.1</v>
      </c>
      <c r="H13" s="18"/>
      <c r="I13" s="136"/>
      <c r="J13" s="18"/>
      <c r="K13" s="8"/>
      <c r="L13" s="18"/>
      <c r="M13" s="18"/>
      <c r="N13" s="18"/>
      <c r="O13" s="18"/>
      <c r="P13" s="18"/>
      <c r="Q13" s="18">
        <f t="shared" si="0"/>
        <v>51.1</v>
      </c>
      <c r="R13" s="18">
        <f t="shared" si="1"/>
        <v>0</v>
      </c>
      <c r="S13" s="18">
        <f t="shared" si="2"/>
        <v>51.1</v>
      </c>
    </row>
    <row r="14" spans="1:19" x14ac:dyDescent="0.25">
      <c r="A14" s="36" t="s">
        <v>24</v>
      </c>
      <c r="B14" s="4" t="s">
        <v>25</v>
      </c>
      <c r="C14" s="5">
        <v>3</v>
      </c>
      <c r="D14" s="6" t="s">
        <v>29</v>
      </c>
      <c r="E14" s="6" t="s">
        <v>19</v>
      </c>
      <c r="F14" s="37">
        <v>41645</v>
      </c>
      <c r="G14" s="25">
        <f>49.2+47.2+96.19</f>
        <v>192.59</v>
      </c>
      <c r="H14" s="18"/>
      <c r="I14" s="136"/>
      <c r="J14" s="18"/>
      <c r="K14" s="8"/>
      <c r="L14" s="18"/>
      <c r="M14" s="18"/>
      <c r="N14" s="18"/>
      <c r="O14" s="18"/>
      <c r="P14" s="18"/>
      <c r="Q14" s="18">
        <f t="shared" si="0"/>
        <v>192.59</v>
      </c>
      <c r="R14" s="18">
        <f t="shared" si="1"/>
        <v>0</v>
      </c>
      <c r="S14" s="18">
        <f t="shared" si="2"/>
        <v>192.59</v>
      </c>
    </row>
    <row r="15" spans="1:19" x14ac:dyDescent="0.25">
      <c r="A15" s="36" t="s">
        <v>30</v>
      </c>
      <c r="B15" s="4" t="s">
        <v>31</v>
      </c>
      <c r="C15" s="5">
        <v>4</v>
      </c>
      <c r="D15" s="6" t="s">
        <v>32</v>
      </c>
      <c r="E15" s="6" t="s">
        <v>19</v>
      </c>
      <c r="F15" s="37">
        <v>41643</v>
      </c>
      <c r="G15" s="25">
        <f>135.62+39.5+18.84+64.9+436.6+179</f>
        <v>874.46</v>
      </c>
      <c r="H15" s="18"/>
      <c r="I15" s="137">
        <v>750</v>
      </c>
      <c r="J15" s="18"/>
      <c r="K15" s="8"/>
      <c r="L15" s="18"/>
      <c r="M15" s="18"/>
      <c r="N15" s="18"/>
      <c r="O15" s="18"/>
      <c r="P15" s="18"/>
      <c r="Q15" s="18">
        <f t="shared" si="0"/>
        <v>1624.46</v>
      </c>
      <c r="R15" s="18">
        <f t="shared" si="1"/>
        <v>0</v>
      </c>
      <c r="S15" s="18">
        <f t="shared" si="2"/>
        <v>1624.46</v>
      </c>
    </row>
    <row r="16" spans="1:19" x14ac:dyDescent="0.25">
      <c r="A16" s="36" t="s">
        <v>33</v>
      </c>
      <c r="B16" s="4" t="s">
        <v>34</v>
      </c>
      <c r="C16" s="5">
        <v>5</v>
      </c>
      <c r="D16" s="6" t="s">
        <v>3462</v>
      </c>
      <c r="E16" s="6" t="s">
        <v>19</v>
      </c>
      <c r="F16" s="37">
        <v>41644</v>
      </c>
      <c r="G16" s="25">
        <f>891.84</f>
        <v>891.84</v>
      </c>
      <c r="H16" s="18"/>
      <c r="I16" s="136"/>
      <c r="J16" s="18"/>
      <c r="K16" s="8"/>
      <c r="L16" s="18"/>
      <c r="M16" s="18"/>
      <c r="N16" s="18"/>
      <c r="O16" s="18"/>
      <c r="P16" s="18"/>
      <c r="Q16" s="18">
        <f t="shared" si="0"/>
        <v>891.84</v>
      </c>
      <c r="R16" s="18">
        <f t="shared" si="1"/>
        <v>0</v>
      </c>
      <c r="S16" s="18">
        <f t="shared" si="2"/>
        <v>891.84</v>
      </c>
    </row>
    <row r="17" spans="1:19" x14ac:dyDescent="0.25">
      <c r="A17" s="36" t="s">
        <v>36</v>
      </c>
      <c r="B17" s="4" t="s">
        <v>37</v>
      </c>
      <c r="C17" s="5">
        <v>6</v>
      </c>
      <c r="D17" s="6" t="s">
        <v>38</v>
      </c>
      <c r="E17" s="6" t="s">
        <v>19</v>
      </c>
      <c r="F17" s="37">
        <v>41646</v>
      </c>
      <c r="G17" s="25">
        <f>492.46</f>
        <v>492.46</v>
      </c>
      <c r="H17" s="18"/>
      <c r="I17" s="136"/>
      <c r="J17" s="18"/>
      <c r="K17" s="8"/>
      <c r="L17" s="18"/>
      <c r="M17" s="18"/>
      <c r="N17" s="18"/>
      <c r="O17" s="18"/>
      <c r="P17" s="18"/>
      <c r="Q17" s="18">
        <f t="shared" si="0"/>
        <v>492.46</v>
      </c>
      <c r="R17" s="18">
        <f t="shared" si="1"/>
        <v>0</v>
      </c>
      <c r="S17" s="18">
        <f t="shared" si="2"/>
        <v>492.46</v>
      </c>
    </row>
    <row r="18" spans="1:19" x14ac:dyDescent="0.25">
      <c r="A18" s="36" t="s">
        <v>39</v>
      </c>
      <c r="B18" s="4" t="s">
        <v>40</v>
      </c>
      <c r="C18" s="5">
        <v>7</v>
      </c>
      <c r="D18" s="6" t="s">
        <v>41</v>
      </c>
      <c r="E18" s="6" t="s">
        <v>19</v>
      </c>
      <c r="F18" s="37">
        <v>41646</v>
      </c>
      <c r="G18" s="25">
        <v>214</v>
      </c>
      <c r="H18" s="18"/>
      <c r="I18" s="136"/>
      <c r="J18" s="18"/>
      <c r="K18" s="8"/>
      <c r="L18" s="18"/>
      <c r="M18" s="18"/>
      <c r="N18" s="18"/>
      <c r="O18" s="18"/>
      <c r="P18" s="18"/>
      <c r="Q18" s="18">
        <f t="shared" si="0"/>
        <v>214</v>
      </c>
      <c r="R18" s="18">
        <f t="shared" si="1"/>
        <v>0</v>
      </c>
      <c r="S18" s="18">
        <f t="shared" si="2"/>
        <v>214</v>
      </c>
    </row>
    <row r="19" spans="1:19" x14ac:dyDescent="0.25">
      <c r="A19" s="36" t="s">
        <v>42</v>
      </c>
      <c r="B19" s="4" t="s">
        <v>43</v>
      </c>
      <c r="C19" s="5">
        <v>8</v>
      </c>
      <c r="D19" s="6" t="s">
        <v>44</v>
      </c>
      <c r="E19" s="6" t="s">
        <v>19</v>
      </c>
      <c r="F19" s="37">
        <v>41645</v>
      </c>
      <c r="G19" s="25">
        <f>35+112.5</f>
        <v>147.5</v>
      </c>
      <c r="H19" s="18"/>
      <c r="I19" s="136"/>
      <c r="J19" s="18"/>
      <c r="K19" s="8"/>
      <c r="L19" s="18"/>
      <c r="M19" s="18"/>
      <c r="N19" s="18"/>
      <c r="O19" s="18"/>
      <c r="P19" s="18"/>
      <c r="Q19" s="18">
        <f t="shared" si="0"/>
        <v>147.5</v>
      </c>
      <c r="R19" s="18">
        <f t="shared" si="1"/>
        <v>0</v>
      </c>
      <c r="S19" s="18">
        <f t="shared" si="2"/>
        <v>147.5</v>
      </c>
    </row>
    <row r="20" spans="1:19" x14ac:dyDescent="0.25">
      <c r="A20" s="36" t="s">
        <v>45</v>
      </c>
      <c r="B20" s="4" t="s">
        <v>46</v>
      </c>
      <c r="C20" s="5">
        <v>9</v>
      </c>
      <c r="D20" s="6" t="s">
        <v>47</v>
      </c>
      <c r="E20" s="6" t="s">
        <v>19</v>
      </c>
      <c r="F20" s="37">
        <v>41650</v>
      </c>
      <c r="G20" s="25">
        <f>125.45+70+67</f>
        <v>262.45</v>
      </c>
      <c r="H20" s="18"/>
      <c r="I20" s="137">
        <v>750</v>
      </c>
      <c r="J20" s="18"/>
      <c r="K20" s="8"/>
      <c r="L20" s="18"/>
      <c r="M20" s="18"/>
      <c r="N20" s="18"/>
      <c r="O20" s="18"/>
      <c r="P20" s="18"/>
      <c r="Q20" s="18">
        <f t="shared" si="0"/>
        <v>1012.45</v>
      </c>
      <c r="R20" s="18">
        <f t="shared" si="1"/>
        <v>0</v>
      </c>
      <c r="S20" s="18">
        <f t="shared" si="2"/>
        <v>1012.45</v>
      </c>
    </row>
    <row r="21" spans="1:19" x14ac:dyDescent="0.25">
      <c r="A21" s="36" t="s">
        <v>48</v>
      </c>
      <c r="B21" s="4" t="s">
        <v>49</v>
      </c>
      <c r="C21" s="5">
        <v>10</v>
      </c>
      <c r="D21" s="6" t="s">
        <v>50</v>
      </c>
      <c r="E21" s="6" t="s">
        <v>19</v>
      </c>
      <c r="F21" s="37">
        <v>41650</v>
      </c>
      <c r="G21" s="25">
        <f>280+47.2+107.4+310.25+146.46+47.2+47.2+127.49</f>
        <v>1113.2</v>
      </c>
      <c r="H21" s="18"/>
      <c r="I21" s="137">
        <v>1500</v>
      </c>
      <c r="J21" s="18"/>
      <c r="K21" s="8"/>
      <c r="L21" s="18"/>
      <c r="M21" s="18"/>
      <c r="N21" s="18"/>
      <c r="O21" s="18"/>
      <c r="P21" s="18"/>
      <c r="Q21" s="18">
        <f t="shared" si="0"/>
        <v>2613.1999999999998</v>
      </c>
      <c r="R21" s="18">
        <f t="shared" si="1"/>
        <v>0</v>
      </c>
      <c r="S21" s="18">
        <f t="shared" si="2"/>
        <v>2613.1999999999998</v>
      </c>
    </row>
    <row r="22" spans="1:19" x14ac:dyDescent="0.25">
      <c r="A22" s="36" t="s">
        <v>51</v>
      </c>
      <c r="B22" s="4" t="s">
        <v>52</v>
      </c>
      <c r="C22" s="5">
        <v>11</v>
      </c>
      <c r="D22" s="6" t="s">
        <v>53</v>
      </c>
      <c r="E22" s="6" t="s">
        <v>19</v>
      </c>
      <c r="F22" s="37">
        <v>41651</v>
      </c>
      <c r="G22" s="25">
        <f>69.7+238+47.2+238+54.51+48.6+47.2+88.42+47.2+47.2+47.2+35.2+224.2+96.8+264</f>
        <v>1593.43</v>
      </c>
      <c r="H22" s="18"/>
      <c r="I22" s="137">
        <v>750</v>
      </c>
      <c r="J22" s="18"/>
      <c r="K22" s="8"/>
      <c r="L22" s="18"/>
      <c r="M22" s="18"/>
      <c r="N22" s="18"/>
      <c r="O22" s="18"/>
      <c r="P22" s="18"/>
      <c r="Q22" s="18">
        <f t="shared" si="0"/>
        <v>2343.4300000000003</v>
      </c>
      <c r="R22" s="18">
        <f t="shared" si="1"/>
        <v>0</v>
      </c>
      <c r="S22" s="18">
        <f t="shared" si="2"/>
        <v>2343.4300000000003</v>
      </c>
    </row>
    <row r="23" spans="1:19" x14ac:dyDescent="0.25">
      <c r="A23" s="36" t="s">
        <v>51</v>
      </c>
      <c r="B23" s="4" t="s">
        <v>52</v>
      </c>
      <c r="C23" s="5">
        <v>11</v>
      </c>
      <c r="D23" s="6" t="s">
        <v>54</v>
      </c>
      <c r="E23" s="6" t="s">
        <v>19</v>
      </c>
      <c r="F23" s="37">
        <v>41651</v>
      </c>
      <c r="G23" s="25">
        <f>35+100.2</f>
        <v>135.19999999999999</v>
      </c>
      <c r="H23" s="18"/>
      <c r="I23" s="136"/>
      <c r="J23" s="18"/>
      <c r="K23" s="8"/>
      <c r="L23" s="18"/>
      <c r="M23" s="18"/>
      <c r="N23" s="18"/>
      <c r="O23" s="18"/>
      <c r="P23" s="18"/>
      <c r="Q23" s="18">
        <f t="shared" si="0"/>
        <v>135.19999999999999</v>
      </c>
      <c r="R23" s="18">
        <f t="shared" si="1"/>
        <v>0</v>
      </c>
      <c r="S23" s="18">
        <f t="shared" si="2"/>
        <v>135.19999999999999</v>
      </c>
    </row>
    <row r="24" spans="1:19" x14ac:dyDescent="0.25">
      <c r="A24" s="36" t="s">
        <v>51</v>
      </c>
      <c r="B24" s="4" t="s">
        <v>52</v>
      </c>
      <c r="C24" s="5">
        <v>11</v>
      </c>
      <c r="D24" s="6" t="s">
        <v>55</v>
      </c>
      <c r="E24" s="6" t="s">
        <v>19</v>
      </c>
      <c r="F24" s="37">
        <v>41651</v>
      </c>
      <c r="G24" s="25">
        <f>37.3+47.2+17.58+22.5+47.2+47.2+436.6+64.9+107.8</f>
        <v>828.28</v>
      </c>
      <c r="H24" s="18"/>
      <c r="I24" s="137">
        <f>750</f>
        <v>750</v>
      </c>
      <c r="J24" s="18"/>
      <c r="K24" s="8"/>
      <c r="L24" s="18"/>
      <c r="M24" s="18"/>
      <c r="N24" s="18"/>
      <c r="O24" s="18"/>
      <c r="P24" s="18"/>
      <c r="Q24" s="18">
        <f t="shared" si="0"/>
        <v>1578.28</v>
      </c>
      <c r="R24" s="18">
        <f t="shared" si="1"/>
        <v>0</v>
      </c>
      <c r="S24" s="18">
        <f t="shared" si="2"/>
        <v>1578.28</v>
      </c>
    </row>
    <row r="25" spans="1:19" x14ac:dyDescent="0.25">
      <c r="A25" s="36" t="s">
        <v>51</v>
      </c>
      <c r="B25" s="4" t="s">
        <v>52</v>
      </c>
      <c r="C25" s="5">
        <v>11</v>
      </c>
      <c r="D25" s="6" t="s">
        <v>56</v>
      </c>
      <c r="E25" s="6" t="s">
        <v>19</v>
      </c>
      <c r="F25" s="37">
        <v>41651</v>
      </c>
      <c r="G25" s="25">
        <f>190.4+35</f>
        <v>225.4</v>
      </c>
      <c r="H25" s="18"/>
      <c r="I25" s="136"/>
      <c r="J25" s="18"/>
      <c r="K25" s="8"/>
      <c r="L25" s="18"/>
      <c r="M25" s="18"/>
      <c r="N25" s="18"/>
      <c r="O25" s="18"/>
      <c r="P25" s="18"/>
      <c r="Q25" s="18">
        <f t="shared" si="0"/>
        <v>225.4</v>
      </c>
      <c r="R25" s="18">
        <f t="shared" si="1"/>
        <v>0</v>
      </c>
      <c r="S25" s="18">
        <f t="shared" si="2"/>
        <v>225.4</v>
      </c>
    </row>
    <row r="26" spans="1:19" x14ac:dyDescent="0.25">
      <c r="A26" s="36" t="s">
        <v>51</v>
      </c>
      <c r="B26" s="4" t="s">
        <v>52</v>
      </c>
      <c r="C26" s="5">
        <v>11</v>
      </c>
      <c r="D26" s="6" t="s">
        <v>57</v>
      </c>
      <c r="E26" s="6" t="s">
        <v>19</v>
      </c>
      <c r="F26" s="37">
        <v>41651</v>
      </c>
      <c r="G26" s="25">
        <v>131.6</v>
      </c>
      <c r="H26" s="18"/>
      <c r="I26" s="136"/>
      <c r="J26" s="18"/>
      <c r="K26" s="8"/>
      <c r="L26" s="18"/>
      <c r="M26" s="18"/>
      <c r="N26" s="18"/>
      <c r="O26" s="18"/>
      <c r="P26" s="18"/>
      <c r="Q26" s="18">
        <f t="shared" si="0"/>
        <v>131.6</v>
      </c>
      <c r="R26" s="18">
        <f t="shared" si="1"/>
        <v>0</v>
      </c>
      <c r="S26" s="18">
        <f t="shared" si="2"/>
        <v>131.6</v>
      </c>
    </row>
    <row r="27" spans="1:19" x14ac:dyDescent="0.25">
      <c r="A27" s="36" t="s">
        <v>51</v>
      </c>
      <c r="B27" s="4" t="s">
        <v>52</v>
      </c>
      <c r="C27" s="5">
        <v>11</v>
      </c>
      <c r="D27" s="6" t="s">
        <v>58</v>
      </c>
      <c r="E27" s="6" t="s">
        <v>19</v>
      </c>
      <c r="F27" s="37">
        <v>41651</v>
      </c>
      <c r="G27" s="25">
        <f>35+109.2</f>
        <v>144.19999999999999</v>
      </c>
      <c r="H27" s="18"/>
      <c r="I27" s="136"/>
      <c r="J27" s="18"/>
      <c r="K27" s="8"/>
      <c r="L27" s="18"/>
      <c r="M27" s="18"/>
      <c r="N27" s="18"/>
      <c r="O27" s="18"/>
      <c r="P27" s="18"/>
      <c r="Q27" s="18">
        <f t="shared" si="0"/>
        <v>144.19999999999999</v>
      </c>
      <c r="R27" s="18">
        <f t="shared" si="1"/>
        <v>0</v>
      </c>
      <c r="S27" s="18">
        <f t="shared" si="2"/>
        <v>144.19999999999999</v>
      </c>
    </row>
    <row r="28" spans="1:19" x14ac:dyDescent="0.25">
      <c r="A28" s="36" t="s">
        <v>51</v>
      </c>
      <c r="B28" s="4" t="s">
        <v>52</v>
      </c>
      <c r="C28" s="5">
        <v>11</v>
      </c>
      <c r="D28" s="6" t="s">
        <v>59</v>
      </c>
      <c r="E28" s="6" t="s">
        <v>19</v>
      </c>
      <c r="F28" s="37">
        <v>41651</v>
      </c>
      <c r="G28" s="25">
        <v>205</v>
      </c>
      <c r="H28" s="18"/>
      <c r="I28" s="136"/>
      <c r="J28" s="18"/>
      <c r="K28" s="8"/>
      <c r="L28" s="18"/>
      <c r="M28" s="18"/>
      <c r="N28" s="18"/>
      <c r="O28" s="18"/>
      <c r="P28" s="18"/>
      <c r="Q28" s="18">
        <f t="shared" si="0"/>
        <v>205</v>
      </c>
      <c r="R28" s="18">
        <f t="shared" si="1"/>
        <v>0</v>
      </c>
      <c r="S28" s="18">
        <f t="shared" si="2"/>
        <v>205</v>
      </c>
    </row>
    <row r="29" spans="1:19" x14ac:dyDescent="0.25">
      <c r="A29" s="36" t="s">
        <v>60</v>
      </c>
      <c r="B29" s="4" t="s">
        <v>61</v>
      </c>
      <c r="C29" s="5">
        <v>12</v>
      </c>
      <c r="D29" s="6" t="s">
        <v>62</v>
      </c>
      <c r="E29" s="6" t="s">
        <v>19</v>
      </c>
      <c r="F29" s="37">
        <v>41652</v>
      </c>
      <c r="G29" s="25">
        <f>71.07+45+18.9+47.2+47.2+436.6+28.21+49.85+64.9+64.9+436.6+210.96</f>
        <v>1521.39</v>
      </c>
      <c r="H29" s="18"/>
      <c r="I29" s="137">
        <v>750</v>
      </c>
      <c r="J29" s="18"/>
      <c r="K29" s="8"/>
      <c r="L29" s="18"/>
      <c r="M29" s="18"/>
      <c r="N29" s="18"/>
      <c r="O29" s="18"/>
      <c r="P29" s="18"/>
      <c r="Q29" s="18">
        <f t="shared" si="0"/>
        <v>2271.3900000000003</v>
      </c>
      <c r="R29" s="18">
        <f t="shared" si="1"/>
        <v>0</v>
      </c>
      <c r="S29" s="18">
        <f t="shared" si="2"/>
        <v>2271.3900000000003</v>
      </c>
    </row>
    <row r="30" spans="1:19" x14ac:dyDescent="0.25">
      <c r="A30" s="36" t="s">
        <v>63</v>
      </c>
      <c r="B30" s="4" t="s">
        <v>64</v>
      </c>
      <c r="C30" s="5">
        <v>13</v>
      </c>
      <c r="D30" s="6" t="s">
        <v>65</v>
      </c>
      <c r="E30" s="6" t="s">
        <v>19</v>
      </c>
      <c r="F30" s="37">
        <v>41650</v>
      </c>
      <c r="G30" s="25"/>
      <c r="H30" s="18"/>
      <c r="I30" s="136"/>
      <c r="J30" s="18"/>
      <c r="K30" s="8"/>
      <c r="L30" s="18"/>
      <c r="M30" s="18"/>
      <c r="N30" s="18"/>
      <c r="O30" s="18"/>
      <c r="P30" s="18"/>
      <c r="Q30" s="18">
        <f t="shared" si="0"/>
        <v>0</v>
      </c>
      <c r="R30" s="18">
        <f t="shared" si="1"/>
        <v>0</v>
      </c>
      <c r="S30" s="18">
        <f t="shared" si="2"/>
        <v>0</v>
      </c>
    </row>
    <row r="31" spans="1:19" x14ac:dyDescent="0.25">
      <c r="A31" s="36" t="s">
        <v>63</v>
      </c>
      <c r="B31" s="4" t="s">
        <v>64</v>
      </c>
      <c r="C31" s="5">
        <v>13</v>
      </c>
      <c r="D31" s="6" t="s">
        <v>66</v>
      </c>
      <c r="E31" s="6" t="s">
        <v>19</v>
      </c>
      <c r="F31" s="37">
        <v>41650</v>
      </c>
      <c r="G31" s="25"/>
      <c r="H31" s="18"/>
      <c r="I31" s="136"/>
      <c r="J31" s="18"/>
      <c r="K31" s="8"/>
      <c r="L31" s="18"/>
      <c r="M31" s="18"/>
      <c r="N31" s="18"/>
      <c r="O31" s="18"/>
      <c r="P31" s="18"/>
      <c r="Q31" s="18">
        <f t="shared" si="0"/>
        <v>0</v>
      </c>
      <c r="R31" s="18">
        <f t="shared" si="1"/>
        <v>0</v>
      </c>
      <c r="S31" s="18">
        <f t="shared" si="2"/>
        <v>0</v>
      </c>
    </row>
    <row r="32" spans="1:19" x14ac:dyDescent="0.25">
      <c r="A32" s="36" t="s">
        <v>67</v>
      </c>
      <c r="B32" s="4" t="s">
        <v>68</v>
      </c>
      <c r="C32" s="5">
        <v>14</v>
      </c>
      <c r="D32" s="6" t="s">
        <v>69</v>
      </c>
      <c r="E32" s="6" t="s">
        <v>19</v>
      </c>
      <c r="F32" s="37">
        <v>41652</v>
      </c>
      <c r="G32" s="25">
        <f>895.66+47.2+47.2</f>
        <v>990.06000000000006</v>
      </c>
      <c r="H32" s="18"/>
      <c r="I32" s="136">
        <v>1125</v>
      </c>
      <c r="J32" s="18"/>
      <c r="K32" s="8"/>
      <c r="L32" s="18"/>
      <c r="M32" s="18"/>
      <c r="N32" s="18"/>
      <c r="O32" s="18"/>
      <c r="P32" s="18"/>
      <c r="Q32" s="18">
        <f t="shared" si="0"/>
        <v>2115.06</v>
      </c>
      <c r="R32" s="18">
        <f t="shared" si="1"/>
        <v>0</v>
      </c>
      <c r="S32" s="18">
        <f t="shared" si="2"/>
        <v>2115.06</v>
      </c>
    </row>
    <row r="33" spans="1:19" x14ac:dyDescent="0.25">
      <c r="A33" s="36" t="s">
        <v>70</v>
      </c>
      <c r="B33" s="4" t="s">
        <v>71</v>
      </c>
      <c r="C33" s="5">
        <v>15</v>
      </c>
      <c r="D33" s="6" t="s">
        <v>72</v>
      </c>
      <c r="E33" s="6" t="s">
        <v>73</v>
      </c>
      <c r="F33" s="37">
        <v>41654</v>
      </c>
      <c r="G33" s="25"/>
      <c r="H33" s="18"/>
      <c r="I33" s="136"/>
      <c r="J33" s="18"/>
      <c r="K33" s="8"/>
      <c r="L33" s="18"/>
      <c r="M33" s="18"/>
      <c r="N33" s="18"/>
      <c r="O33" s="18"/>
      <c r="P33" s="18"/>
      <c r="Q33" s="18">
        <f t="shared" si="0"/>
        <v>0</v>
      </c>
      <c r="R33" s="18">
        <f t="shared" si="1"/>
        <v>0</v>
      </c>
      <c r="S33" s="18">
        <f t="shared" si="2"/>
        <v>0</v>
      </c>
    </row>
    <row r="34" spans="1:19" x14ac:dyDescent="0.25">
      <c r="A34" s="36" t="s">
        <v>74</v>
      </c>
      <c r="B34" s="4" t="s">
        <v>75</v>
      </c>
      <c r="C34" s="5">
        <v>16</v>
      </c>
      <c r="D34" s="6" t="s">
        <v>76</v>
      </c>
      <c r="E34" s="6" t="s">
        <v>73</v>
      </c>
      <c r="F34" s="37">
        <v>41654</v>
      </c>
      <c r="G34" s="25">
        <f>238+47.2+161+95.95+271</f>
        <v>813.15</v>
      </c>
      <c r="H34" s="18"/>
      <c r="I34" s="137">
        <f>375+250</f>
        <v>625</v>
      </c>
      <c r="J34" s="18"/>
      <c r="K34" s="8"/>
      <c r="L34" s="18"/>
      <c r="M34" s="18"/>
      <c r="N34" s="18"/>
      <c r="O34" s="18"/>
      <c r="P34" s="18"/>
      <c r="Q34" s="18">
        <f t="shared" si="0"/>
        <v>1438.15</v>
      </c>
      <c r="R34" s="18">
        <f t="shared" si="1"/>
        <v>0</v>
      </c>
      <c r="S34" s="18">
        <f t="shared" si="2"/>
        <v>1438.15</v>
      </c>
    </row>
    <row r="35" spans="1:19" x14ac:dyDescent="0.25">
      <c r="A35" s="36" t="s">
        <v>77</v>
      </c>
      <c r="B35" s="4" t="s">
        <v>78</v>
      </c>
      <c r="C35" s="5">
        <v>17</v>
      </c>
      <c r="D35" s="6" t="s">
        <v>79</v>
      </c>
      <c r="E35" s="6" t="s">
        <v>19</v>
      </c>
      <c r="F35" s="37">
        <v>41291</v>
      </c>
      <c r="G35" s="25">
        <f>124.43</f>
        <v>124.43</v>
      </c>
      <c r="H35" s="18"/>
      <c r="I35" s="136"/>
      <c r="J35" s="18"/>
      <c r="K35" s="8"/>
      <c r="L35" s="18"/>
      <c r="M35" s="18"/>
      <c r="N35" s="18"/>
      <c r="O35" s="18"/>
      <c r="P35" s="18"/>
      <c r="Q35" s="18">
        <f t="shared" si="0"/>
        <v>124.43</v>
      </c>
      <c r="R35" s="18">
        <f t="shared" si="1"/>
        <v>0</v>
      </c>
      <c r="S35" s="18">
        <f t="shared" si="2"/>
        <v>124.43</v>
      </c>
    </row>
    <row r="36" spans="1:19" x14ac:dyDescent="0.25">
      <c r="A36" s="36" t="s">
        <v>80</v>
      </c>
      <c r="B36" s="4" t="s">
        <v>81</v>
      </c>
      <c r="C36" s="5">
        <v>18</v>
      </c>
      <c r="D36" s="6" t="s">
        <v>82</v>
      </c>
      <c r="E36" s="6" t="s">
        <v>19</v>
      </c>
      <c r="F36" s="37">
        <v>41649</v>
      </c>
      <c r="G36" s="25">
        <f>242.96</f>
        <v>242.96</v>
      </c>
      <c r="H36" s="18"/>
      <c r="I36" s="136"/>
      <c r="J36" s="18"/>
      <c r="K36" s="8"/>
      <c r="L36" s="18"/>
      <c r="M36" s="18"/>
      <c r="N36" s="18"/>
      <c r="O36" s="18"/>
      <c r="P36" s="18"/>
      <c r="Q36" s="18">
        <f t="shared" si="0"/>
        <v>242.96</v>
      </c>
      <c r="R36" s="18">
        <f t="shared" si="1"/>
        <v>0</v>
      </c>
      <c r="S36" s="18">
        <f t="shared" si="2"/>
        <v>242.96</v>
      </c>
    </row>
    <row r="37" spans="1:19" x14ac:dyDescent="0.25">
      <c r="A37" s="36" t="s">
        <v>83</v>
      </c>
      <c r="B37" s="4" t="s">
        <v>84</v>
      </c>
      <c r="C37" s="5">
        <v>19</v>
      </c>
      <c r="D37" s="6" t="s">
        <v>85</v>
      </c>
      <c r="E37" s="6" t="s">
        <v>19</v>
      </c>
      <c r="F37" s="37">
        <v>41660</v>
      </c>
      <c r="G37" s="25">
        <v>230.71</v>
      </c>
      <c r="H37" s="18"/>
      <c r="I37" s="136"/>
      <c r="J37" s="18"/>
      <c r="K37" s="8"/>
      <c r="L37" s="18"/>
      <c r="M37" s="18"/>
      <c r="N37" s="18"/>
      <c r="O37" s="18"/>
      <c r="P37" s="18"/>
      <c r="Q37" s="18">
        <f t="shared" si="0"/>
        <v>230.71</v>
      </c>
      <c r="R37" s="18">
        <f t="shared" si="1"/>
        <v>0</v>
      </c>
      <c r="S37" s="18">
        <f t="shared" si="2"/>
        <v>230.71</v>
      </c>
    </row>
    <row r="38" spans="1:19" x14ac:dyDescent="0.25">
      <c r="A38" s="36" t="s">
        <v>83</v>
      </c>
      <c r="B38" s="4" t="s">
        <v>84</v>
      </c>
      <c r="C38" s="5">
        <v>19</v>
      </c>
      <c r="D38" s="6" t="s">
        <v>86</v>
      </c>
      <c r="E38" s="6" t="s">
        <v>19</v>
      </c>
      <c r="F38" s="37">
        <v>41660</v>
      </c>
      <c r="G38" s="25">
        <f>52.28+1119.34+59.82+81.34+52.28+41.3+82.53+41.3+41.3+215.09</f>
        <v>1786.5799999999995</v>
      </c>
      <c r="H38" s="18"/>
      <c r="I38" s="136"/>
      <c r="J38" s="18"/>
      <c r="K38" s="8"/>
      <c r="L38" s="18"/>
      <c r="M38" s="18"/>
      <c r="N38" s="18"/>
      <c r="O38" s="18"/>
      <c r="P38" s="18"/>
      <c r="Q38" s="18">
        <f t="shared" si="0"/>
        <v>1786.5799999999995</v>
      </c>
      <c r="R38" s="18">
        <f t="shared" si="1"/>
        <v>0</v>
      </c>
      <c r="S38" s="18">
        <f t="shared" si="2"/>
        <v>1786.5799999999995</v>
      </c>
    </row>
    <row r="39" spans="1:19" x14ac:dyDescent="0.25">
      <c r="A39" s="36" t="s">
        <v>83</v>
      </c>
      <c r="B39" s="4" t="s">
        <v>84</v>
      </c>
      <c r="C39" s="5">
        <v>19</v>
      </c>
      <c r="D39" s="6" t="s">
        <v>87</v>
      </c>
      <c r="E39" s="6" t="s">
        <v>19</v>
      </c>
      <c r="F39" s="37">
        <v>41660</v>
      </c>
      <c r="G39" s="25">
        <v>55.46</v>
      </c>
      <c r="H39" s="18"/>
      <c r="I39" s="136"/>
      <c r="J39" s="18"/>
      <c r="K39" s="8"/>
      <c r="L39" s="18"/>
      <c r="M39" s="18"/>
      <c r="N39" s="18"/>
      <c r="O39" s="18"/>
      <c r="P39" s="18"/>
      <c r="Q39" s="18">
        <f t="shared" si="0"/>
        <v>55.46</v>
      </c>
      <c r="R39" s="18">
        <f t="shared" si="1"/>
        <v>0</v>
      </c>
      <c r="S39" s="18">
        <f t="shared" si="2"/>
        <v>55.46</v>
      </c>
    </row>
    <row r="40" spans="1:19" x14ac:dyDescent="0.25">
      <c r="A40" s="36" t="s">
        <v>83</v>
      </c>
      <c r="B40" s="4" t="s">
        <v>84</v>
      </c>
      <c r="C40" s="5">
        <v>19</v>
      </c>
      <c r="D40" s="6" t="s">
        <v>88</v>
      </c>
      <c r="E40" s="6" t="s">
        <v>19</v>
      </c>
      <c r="F40" s="37">
        <v>41660</v>
      </c>
      <c r="G40" s="25">
        <f>114.65+335.52</f>
        <v>450.16999999999996</v>
      </c>
      <c r="H40" s="18"/>
      <c r="I40" s="136"/>
      <c r="J40" s="18"/>
      <c r="K40" s="8"/>
      <c r="L40" s="18"/>
      <c r="M40" s="18"/>
      <c r="N40" s="18"/>
      <c r="O40" s="18"/>
      <c r="P40" s="18"/>
      <c r="Q40" s="18">
        <f t="shared" si="0"/>
        <v>450.16999999999996</v>
      </c>
      <c r="R40" s="18">
        <f t="shared" si="1"/>
        <v>0</v>
      </c>
      <c r="S40" s="18">
        <f t="shared" si="2"/>
        <v>450.16999999999996</v>
      </c>
    </row>
    <row r="41" spans="1:19" x14ac:dyDescent="0.25">
      <c r="A41" s="36" t="s">
        <v>83</v>
      </c>
      <c r="B41" s="4" t="s">
        <v>84</v>
      </c>
      <c r="C41" s="5">
        <v>19</v>
      </c>
      <c r="D41" s="6" t="s">
        <v>89</v>
      </c>
      <c r="E41" s="6" t="s">
        <v>19</v>
      </c>
      <c r="F41" s="37">
        <v>41660</v>
      </c>
      <c r="G41" s="25">
        <f>114.56+270.34+108.23+148.95</f>
        <v>642.07999999999993</v>
      </c>
      <c r="H41" s="18"/>
      <c r="I41" s="136"/>
      <c r="J41" s="18"/>
      <c r="K41" s="8"/>
      <c r="L41" s="18"/>
      <c r="M41" s="18"/>
      <c r="N41" s="18"/>
      <c r="O41" s="18"/>
      <c r="P41" s="18"/>
      <c r="Q41" s="18">
        <f t="shared" si="0"/>
        <v>642.07999999999993</v>
      </c>
      <c r="R41" s="18">
        <f t="shared" si="1"/>
        <v>0</v>
      </c>
      <c r="S41" s="18">
        <f t="shared" si="2"/>
        <v>642.07999999999993</v>
      </c>
    </row>
    <row r="42" spans="1:19" x14ac:dyDescent="0.25">
      <c r="A42" s="36" t="s">
        <v>90</v>
      </c>
      <c r="B42" s="4" t="s">
        <v>91</v>
      </c>
      <c r="C42" s="5">
        <v>20</v>
      </c>
      <c r="D42" s="6" t="s">
        <v>92</v>
      </c>
      <c r="E42" s="6" t="s">
        <v>19</v>
      </c>
      <c r="F42" s="37">
        <v>41662</v>
      </c>
      <c r="G42" s="25">
        <f>108.5</f>
        <v>108.5</v>
      </c>
      <c r="H42" s="18"/>
      <c r="I42" s="136"/>
      <c r="J42" s="18"/>
      <c r="K42" s="8"/>
      <c r="L42" s="18"/>
      <c r="M42" s="18"/>
      <c r="N42" s="18"/>
      <c r="O42" s="18"/>
      <c r="P42" s="18"/>
      <c r="Q42" s="18">
        <f t="shared" si="0"/>
        <v>108.5</v>
      </c>
      <c r="R42" s="18">
        <f t="shared" si="1"/>
        <v>0</v>
      </c>
      <c r="S42" s="18">
        <f t="shared" si="2"/>
        <v>108.5</v>
      </c>
    </row>
    <row r="43" spans="1:19" x14ac:dyDescent="0.25">
      <c r="A43" s="36" t="s">
        <v>93</v>
      </c>
      <c r="B43" s="4" t="s">
        <v>94</v>
      </c>
      <c r="C43" s="5">
        <v>21</v>
      </c>
      <c r="D43" s="6" t="s">
        <v>95</v>
      </c>
      <c r="E43" s="6" t="s">
        <v>19</v>
      </c>
      <c r="F43" s="37">
        <v>41647</v>
      </c>
      <c r="G43" s="25">
        <f>11+75.41+271.75+47.2+94.94+413.5+64.9+436.6+64.1</f>
        <v>1479.3999999999999</v>
      </c>
      <c r="H43" s="18"/>
      <c r="I43" s="137">
        <v>1500</v>
      </c>
      <c r="J43" s="18"/>
      <c r="K43" s="8"/>
      <c r="L43" s="18"/>
      <c r="M43" s="18"/>
      <c r="N43" s="18"/>
      <c r="O43" s="18"/>
      <c r="P43" s="18"/>
      <c r="Q43" s="18">
        <f t="shared" si="0"/>
        <v>2979.3999999999996</v>
      </c>
      <c r="R43" s="18">
        <f t="shared" si="1"/>
        <v>0</v>
      </c>
      <c r="S43" s="18">
        <f t="shared" si="2"/>
        <v>2979.3999999999996</v>
      </c>
    </row>
    <row r="44" spans="1:19" x14ac:dyDescent="0.25">
      <c r="A44" s="36" t="s">
        <v>93</v>
      </c>
      <c r="B44" s="4" t="s">
        <v>94</v>
      </c>
      <c r="C44" s="5">
        <v>21</v>
      </c>
      <c r="D44" s="6" t="s">
        <v>96</v>
      </c>
      <c r="E44" s="6" t="s">
        <v>19</v>
      </c>
      <c r="F44" s="37">
        <v>41647</v>
      </c>
      <c r="G44" s="25">
        <f>40</f>
        <v>40</v>
      </c>
      <c r="H44" s="18"/>
      <c r="I44" s="136"/>
      <c r="J44" s="18"/>
      <c r="K44" s="8"/>
      <c r="L44" s="18"/>
      <c r="M44" s="18"/>
      <c r="N44" s="18"/>
      <c r="O44" s="18"/>
      <c r="P44" s="18"/>
      <c r="Q44" s="18">
        <f t="shared" si="0"/>
        <v>40</v>
      </c>
      <c r="R44" s="18">
        <f t="shared" si="1"/>
        <v>0</v>
      </c>
      <c r="S44" s="18">
        <f t="shared" si="2"/>
        <v>40</v>
      </c>
    </row>
    <row r="45" spans="1:19" x14ac:dyDescent="0.25">
      <c r="A45" s="36" t="s">
        <v>93</v>
      </c>
      <c r="B45" s="4" t="s">
        <v>94</v>
      </c>
      <c r="C45" s="5">
        <v>21</v>
      </c>
      <c r="D45" s="6" t="s">
        <v>97</v>
      </c>
      <c r="E45" s="6" t="s">
        <v>19</v>
      </c>
      <c r="F45" s="37">
        <v>41647</v>
      </c>
      <c r="G45" s="25">
        <f>40</f>
        <v>40</v>
      </c>
      <c r="H45" s="18"/>
      <c r="I45" s="136"/>
      <c r="J45" s="18"/>
      <c r="K45" s="8"/>
      <c r="L45" s="18"/>
      <c r="M45" s="18"/>
      <c r="N45" s="18"/>
      <c r="O45" s="18"/>
      <c r="P45" s="18"/>
      <c r="Q45" s="18">
        <f t="shared" si="0"/>
        <v>40</v>
      </c>
      <c r="R45" s="18">
        <f t="shared" si="1"/>
        <v>0</v>
      </c>
      <c r="S45" s="18">
        <f t="shared" si="2"/>
        <v>40</v>
      </c>
    </row>
    <row r="46" spans="1:19" x14ac:dyDescent="0.25">
      <c r="A46" s="36" t="s">
        <v>93</v>
      </c>
      <c r="B46" s="4" t="s">
        <v>94</v>
      </c>
      <c r="C46" s="5">
        <v>21</v>
      </c>
      <c r="D46" s="6" t="s">
        <v>98</v>
      </c>
      <c r="E46" s="6" t="s">
        <v>19</v>
      </c>
      <c r="F46" s="37">
        <v>41647</v>
      </c>
      <c r="G46" s="25">
        <f>102</f>
        <v>102</v>
      </c>
      <c r="H46" s="18"/>
      <c r="I46" s="136"/>
      <c r="J46" s="18"/>
      <c r="K46" s="8"/>
      <c r="L46" s="18"/>
      <c r="M46" s="18"/>
      <c r="N46" s="18"/>
      <c r="O46" s="18"/>
      <c r="P46" s="18"/>
      <c r="Q46" s="18">
        <f t="shared" si="0"/>
        <v>102</v>
      </c>
      <c r="R46" s="18">
        <f t="shared" si="1"/>
        <v>0</v>
      </c>
      <c r="S46" s="18">
        <f t="shared" si="2"/>
        <v>102</v>
      </c>
    </row>
    <row r="47" spans="1:19" x14ac:dyDescent="0.25">
      <c r="A47" s="36" t="s">
        <v>93</v>
      </c>
      <c r="B47" s="4" t="s">
        <v>94</v>
      </c>
      <c r="C47" s="5">
        <v>21</v>
      </c>
      <c r="D47" s="6" t="s">
        <v>99</v>
      </c>
      <c r="E47" s="6" t="s">
        <v>19</v>
      </c>
      <c r="F47" s="37">
        <v>41647</v>
      </c>
      <c r="G47" s="25">
        <f>180.5</f>
        <v>180.5</v>
      </c>
      <c r="H47" s="18"/>
      <c r="I47" s="136"/>
      <c r="J47" s="18"/>
      <c r="K47" s="8"/>
      <c r="L47" s="18"/>
      <c r="M47" s="18"/>
      <c r="N47" s="18"/>
      <c r="O47" s="18"/>
      <c r="P47" s="18"/>
      <c r="Q47" s="18">
        <f t="shared" si="0"/>
        <v>180.5</v>
      </c>
      <c r="R47" s="18">
        <f t="shared" si="1"/>
        <v>0</v>
      </c>
      <c r="S47" s="18">
        <f t="shared" si="2"/>
        <v>180.5</v>
      </c>
    </row>
    <row r="48" spans="1:19" x14ac:dyDescent="0.25">
      <c r="A48" s="36" t="s">
        <v>93</v>
      </c>
      <c r="B48" s="4" t="s">
        <v>94</v>
      </c>
      <c r="C48" s="5">
        <v>21</v>
      </c>
      <c r="D48" s="6" t="s">
        <v>100</v>
      </c>
      <c r="E48" s="6" t="s">
        <v>19</v>
      </c>
      <c r="F48" s="37">
        <v>41647</v>
      </c>
      <c r="G48" s="25">
        <f>111.5</f>
        <v>111.5</v>
      </c>
      <c r="H48" s="18"/>
      <c r="I48" s="136"/>
      <c r="J48" s="18"/>
      <c r="K48" s="8"/>
      <c r="L48" s="18"/>
      <c r="M48" s="18"/>
      <c r="N48" s="18"/>
      <c r="O48" s="18"/>
      <c r="P48" s="18"/>
      <c r="Q48" s="18">
        <f t="shared" si="0"/>
        <v>111.5</v>
      </c>
      <c r="R48" s="18">
        <f t="shared" si="1"/>
        <v>0</v>
      </c>
      <c r="S48" s="18">
        <f t="shared" si="2"/>
        <v>111.5</v>
      </c>
    </row>
    <row r="49" spans="1:19" x14ac:dyDescent="0.25">
      <c r="A49" s="36" t="s">
        <v>93</v>
      </c>
      <c r="B49" s="4" t="s">
        <v>94</v>
      </c>
      <c r="C49" s="5">
        <v>21</v>
      </c>
      <c r="D49" s="6" t="s">
        <v>101</v>
      </c>
      <c r="E49" s="6" t="s">
        <v>19</v>
      </c>
      <c r="F49" s="37">
        <v>41647</v>
      </c>
      <c r="G49" s="25">
        <v>40.5</v>
      </c>
      <c r="H49" s="18"/>
      <c r="I49" s="136"/>
      <c r="J49" s="18"/>
      <c r="K49" s="8"/>
      <c r="L49" s="18"/>
      <c r="M49" s="18"/>
      <c r="N49" s="18"/>
      <c r="O49" s="18"/>
      <c r="P49" s="18"/>
      <c r="Q49" s="18">
        <f t="shared" si="0"/>
        <v>40.5</v>
      </c>
      <c r="R49" s="18">
        <f t="shared" si="1"/>
        <v>0</v>
      </c>
      <c r="S49" s="18">
        <f t="shared" si="2"/>
        <v>40.5</v>
      </c>
    </row>
    <row r="50" spans="1:19" x14ac:dyDescent="0.25">
      <c r="A50" s="36" t="s">
        <v>102</v>
      </c>
      <c r="B50" s="4" t="s">
        <v>103</v>
      </c>
      <c r="C50" s="5">
        <v>22</v>
      </c>
      <c r="D50" s="6" t="s">
        <v>104</v>
      </c>
      <c r="E50" s="6" t="s">
        <v>19</v>
      </c>
      <c r="F50" s="37">
        <v>41663</v>
      </c>
      <c r="G50" s="25">
        <f>558+77.56+82.6+2491.86+47.2+226.8+335+47.2+80</f>
        <v>3946.22</v>
      </c>
      <c r="H50" s="18"/>
      <c r="I50" s="137">
        <f>2250+1500</f>
        <v>3750</v>
      </c>
      <c r="J50" s="18"/>
      <c r="K50" s="8"/>
      <c r="L50" s="18"/>
      <c r="M50" s="18"/>
      <c r="N50" s="18"/>
      <c r="O50" s="18"/>
      <c r="P50" s="18"/>
      <c r="Q50" s="18">
        <f t="shared" si="0"/>
        <v>7696.2199999999993</v>
      </c>
      <c r="R50" s="18">
        <f t="shared" si="1"/>
        <v>0</v>
      </c>
      <c r="S50" s="18">
        <f t="shared" si="2"/>
        <v>7696.2199999999993</v>
      </c>
    </row>
    <row r="51" spans="1:19" x14ac:dyDescent="0.25">
      <c r="A51" s="36" t="s">
        <v>105</v>
      </c>
      <c r="B51" s="4" t="s">
        <v>106</v>
      </c>
      <c r="C51" s="5">
        <v>23</v>
      </c>
      <c r="D51" s="6" t="s">
        <v>3119</v>
      </c>
      <c r="E51" s="6" t="s">
        <v>19</v>
      </c>
      <c r="F51" s="37">
        <v>41664</v>
      </c>
      <c r="G51" s="25">
        <f>85+3511.74+122.61+47.2+47.2+335+335+75.41+105.02+47.2+165+75.41+47.2+245</f>
        <v>5243.99</v>
      </c>
      <c r="H51" s="18"/>
      <c r="I51" s="136">
        <v>3000</v>
      </c>
      <c r="J51" s="18"/>
      <c r="K51" s="8"/>
      <c r="L51" s="18"/>
      <c r="M51" s="18"/>
      <c r="N51" s="18"/>
      <c r="O51" s="18"/>
      <c r="P51" s="18"/>
      <c r="Q51" s="18">
        <f t="shared" si="0"/>
        <v>8243.99</v>
      </c>
      <c r="R51" s="18">
        <f t="shared" si="1"/>
        <v>0</v>
      </c>
      <c r="S51" s="18">
        <f t="shared" si="2"/>
        <v>8243.99</v>
      </c>
    </row>
    <row r="52" spans="1:19" x14ac:dyDescent="0.25">
      <c r="A52" s="36" t="s">
        <v>107</v>
      </c>
      <c r="B52" s="4" t="s">
        <v>108</v>
      </c>
      <c r="C52" s="5">
        <v>24</v>
      </c>
      <c r="D52" s="6" t="s">
        <v>109</v>
      </c>
      <c r="E52" s="6" t="s">
        <v>19</v>
      </c>
      <c r="F52" s="37">
        <v>41666</v>
      </c>
      <c r="G52" s="25">
        <v>107</v>
      </c>
      <c r="H52" s="18"/>
      <c r="I52" s="136"/>
      <c r="J52" s="18"/>
      <c r="K52" s="8"/>
      <c r="L52" s="18"/>
      <c r="M52" s="18"/>
      <c r="N52" s="18"/>
      <c r="O52" s="18"/>
      <c r="P52" s="18"/>
      <c r="Q52" s="18">
        <f t="shared" si="0"/>
        <v>107</v>
      </c>
      <c r="R52" s="18">
        <f t="shared" si="1"/>
        <v>0</v>
      </c>
      <c r="S52" s="18">
        <f t="shared" si="2"/>
        <v>107</v>
      </c>
    </row>
    <row r="53" spans="1:19" x14ac:dyDescent="0.25">
      <c r="A53" s="36" t="s">
        <v>110</v>
      </c>
      <c r="B53" s="4" t="s">
        <v>111</v>
      </c>
      <c r="C53" s="5">
        <v>25</v>
      </c>
      <c r="D53" s="6" t="s">
        <v>112</v>
      </c>
      <c r="E53" s="6" t="s">
        <v>19</v>
      </c>
      <c r="F53" s="37">
        <v>41666</v>
      </c>
      <c r="G53" s="25">
        <f>128.68</f>
        <v>128.68</v>
      </c>
      <c r="H53" s="18"/>
      <c r="I53" s="136"/>
      <c r="J53" s="18"/>
      <c r="K53" s="8"/>
      <c r="L53" s="18"/>
      <c r="M53" s="18"/>
      <c r="N53" s="18"/>
      <c r="O53" s="18"/>
      <c r="P53" s="18"/>
      <c r="Q53" s="18">
        <f t="shared" si="0"/>
        <v>128.68</v>
      </c>
      <c r="R53" s="18">
        <f t="shared" si="1"/>
        <v>0</v>
      </c>
      <c r="S53" s="18">
        <f t="shared" si="2"/>
        <v>128.68</v>
      </c>
    </row>
    <row r="54" spans="1:19" x14ac:dyDescent="0.25">
      <c r="A54" s="36" t="s">
        <v>113</v>
      </c>
      <c r="B54" s="4" t="s">
        <v>114</v>
      </c>
      <c r="C54" s="5">
        <v>26</v>
      </c>
      <c r="D54" s="6" t="s">
        <v>115</v>
      </c>
      <c r="E54" s="6" t="s">
        <v>19</v>
      </c>
      <c r="F54" s="37">
        <v>41664</v>
      </c>
      <c r="G54" s="25">
        <f>118</f>
        <v>118</v>
      </c>
      <c r="H54" s="18"/>
      <c r="I54" s="136"/>
      <c r="J54" s="18"/>
      <c r="K54" s="8"/>
      <c r="L54" s="18"/>
      <c r="M54" s="18"/>
      <c r="N54" s="18"/>
      <c r="O54" s="18"/>
      <c r="P54" s="18"/>
      <c r="Q54" s="18">
        <f t="shared" si="0"/>
        <v>118</v>
      </c>
      <c r="R54" s="18">
        <f t="shared" si="1"/>
        <v>0</v>
      </c>
      <c r="S54" s="18">
        <f t="shared" si="2"/>
        <v>118</v>
      </c>
    </row>
    <row r="55" spans="1:19" x14ac:dyDescent="0.25">
      <c r="A55" s="36" t="s">
        <v>116</v>
      </c>
      <c r="B55" s="4" t="s">
        <v>117</v>
      </c>
      <c r="C55" s="5">
        <v>27</v>
      </c>
      <c r="D55" s="6" t="s">
        <v>118</v>
      </c>
      <c r="E55" s="6" t="s">
        <v>19</v>
      </c>
      <c r="F55" s="37">
        <v>41668</v>
      </c>
      <c r="G55" s="25">
        <f>242.61</f>
        <v>242.61</v>
      </c>
      <c r="H55" s="18"/>
      <c r="I55" s="136"/>
      <c r="J55" s="18"/>
      <c r="K55" s="8"/>
      <c r="L55" s="18"/>
      <c r="M55" s="18"/>
      <c r="N55" s="18"/>
      <c r="O55" s="18"/>
      <c r="P55" s="18"/>
      <c r="Q55" s="18">
        <f t="shared" si="0"/>
        <v>242.61</v>
      </c>
      <c r="R55" s="18">
        <f t="shared" si="1"/>
        <v>0</v>
      </c>
      <c r="S55" s="18">
        <f t="shared" si="2"/>
        <v>242.61</v>
      </c>
    </row>
    <row r="56" spans="1:19" x14ac:dyDescent="0.25">
      <c r="A56" s="36" t="s">
        <v>116</v>
      </c>
      <c r="B56" s="4" t="s">
        <v>117</v>
      </c>
      <c r="C56" s="5">
        <v>27</v>
      </c>
      <c r="D56" s="6" t="s">
        <v>119</v>
      </c>
      <c r="E56" s="6" t="s">
        <v>19</v>
      </c>
      <c r="F56" s="37">
        <v>41668</v>
      </c>
      <c r="G56" s="25">
        <f>204.97</f>
        <v>204.97</v>
      </c>
      <c r="H56" s="18"/>
      <c r="I56" s="136"/>
      <c r="J56" s="18"/>
      <c r="K56" s="8"/>
      <c r="L56" s="18"/>
      <c r="M56" s="18"/>
      <c r="N56" s="18"/>
      <c r="O56" s="18"/>
      <c r="P56" s="18"/>
      <c r="Q56" s="18">
        <f t="shared" si="0"/>
        <v>204.97</v>
      </c>
      <c r="R56" s="18">
        <f t="shared" si="1"/>
        <v>0</v>
      </c>
      <c r="S56" s="18">
        <f t="shared" si="2"/>
        <v>204.97</v>
      </c>
    </row>
    <row r="57" spans="1:19" x14ac:dyDescent="0.25">
      <c r="A57" s="36" t="s">
        <v>116</v>
      </c>
      <c r="B57" s="4" t="s">
        <v>117</v>
      </c>
      <c r="C57" s="5">
        <v>27</v>
      </c>
      <c r="D57" s="6" t="s">
        <v>120</v>
      </c>
      <c r="E57" s="6" t="s">
        <v>19</v>
      </c>
      <c r="F57" s="37">
        <v>41668</v>
      </c>
      <c r="G57" s="25">
        <f>85.49</f>
        <v>85.49</v>
      </c>
      <c r="H57" s="18"/>
      <c r="I57" s="136"/>
      <c r="J57" s="18"/>
      <c r="K57" s="8"/>
      <c r="L57" s="18"/>
      <c r="M57" s="18"/>
      <c r="N57" s="18"/>
      <c r="O57" s="18"/>
      <c r="P57" s="18"/>
      <c r="Q57" s="18">
        <f t="shared" si="0"/>
        <v>85.49</v>
      </c>
      <c r="R57" s="18">
        <f t="shared" si="1"/>
        <v>0</v>
      </c>
      <c r="S57" s="18">
        <f t="shared" si="2"/>
        <v>85.49</v>
      </c>
    </row>
    <row r="58" spans="1:19" x14ac:dyDescent="0.25">
      <c r="A58" s="36" t="s">
        <v>121</v>
      </c>
      <c r="B58" s="4" t="s">
        <v>122</v>
      </c>
      <c r="C58" s="5">
        <v>28</v>
      </c>
      <c r="D58" s="6" t="s">
        <v>123</v>
      </c>
      <c r="E58" s="6" t="s">
        <v>19</v>
      </c>
      <c r="F58" s="37">
        <v>41664</v>
      </c>
      <c r="G58" s="25">
        <f>1330+3728.8+4484+1083.88+170.95+170.95+64.9+631.3+64.9+119.6+64.9+542.8+77.56</f>
        <v>12534.539999999999</v>
      </c>
      <c r="H58" s="18"/>
      <c r="I58" s="137">
        <f>1875+1925</f>
        <v>3800</v>
      </c>
      <c r="J58" s="18"/>
      <c r="K58" s="8"/>
      <c r="L58" s="18"/>
      <c r="M58" s="18"/>
      <c r="N58" s="18"/>
      <c r="O58" s="18"/>
      <c r="P58" s="18"/>
      <c r="Q58" s="18">
        <f t="shared" si="0"/>
        <v>16334.539999999999</v>
      </c>
      <c r="R58" s="18">
        <f t="shared" si="1"/>
        <v>0</v>
      </c>
      <c r="S58" s="18">
        <f t="shared" si="2"/>
        <v>16334.539999999999</v>
      </c>
    </row>
    <row r="59" spans="1:19" x14ac:dyDescent="0.25">
      <c r="A59" s="36" t="s">
        <v>124</v>
      </c>
      <c r="B59" s="4" t="s">
        <v>125</v>
      </c>
      <c r="C59" s="5">
        <v>29</v>
      </c>
      <c r="D59" s="6" t="s">
        <v>126</v>
      </c>
      <c r="E59" s="6" t="s">
        <v>19</v>
      </c>
      <c r="F59" s="37">
        <v>41667</v>
      </c>
      <c r="G59" s="25">
        <f>238+550.5</f>
        <v>788.5</v>
      </c>
      <c r="H59" s="18"/>
      <c r="I59" s="136"/>
      <c r="J59" s="18"/>
      <c r="K59" s="8"/>
      <c r="L59" s="18"/>
      <c r="M59" s="18"/>
      <c r="N59" s="18"/>
      <c r="O59" s="18"/>
      <c r="P59" s="18"/>
      <c r="Q59" s="18">
        <f t="shared" si="0"/>
        <v>788.5</v>
      </c>
      <c r="R59" s="18">
        <f t="shared" si="1"/>
        <v>0</v>
      </c>
      <c r="S59" s="18">
        <f t="shared" si="2"/>
        <v>788.5</v>
      </c>
    </row>
    <row r="60" spans="1:19" x14ac:dyDescent="0.25">
      <c r="A60" s="36" t="s">
        <v>127</v>
      </c>
      <c r="B60" s="4" t="s">
        <v>128</v>
      </c>
      <c r="C60" s="5">
        <v>30</v>
      </c>
      <c r="D60" s="6" t="s">
        <v>129</v>
      </c>
      <c r="E60" s="6" t="s">
        <v>19</v>
      </c>
      <c r="F60" s="37">
        <v>41666</v>
      </c>
      <c r="G60" s="25">
        <f>238+398</f>
        <v>636</v>
      </c>
      <c r="H60" s="18"/>
      <c r="I60" s="136"/>
      <c r="J60" s="18"/>
      <c r="K60" s="8"/>
      <c r="L60" s="18"/>
      <c r="M60" s="18"/>
      <c r="N60" s="18"/>
      <c r="O60" s="18"/>
      <c r="P60" s="18"/>
      <c r="Q60" s="18">
        <f t="shared" si="0"/>
        <v>636</v>
      </c>
      <c r="R60" s="18">
        <f t="shared" si="1"/>
        <v>0</v>
      </c>
      <c r="S60" s="18">
        <f t="shared" si="2"/>
        <v>636</v>
      </c>
    </row>
    <row r="61" spans="1:19" x14ac:dyDescent="0.25">
      <c r="A61" s="36" t="s">
        <v>130</v>
      </c>
      <c r="B61" s="4" t="s">
        <v>131</v>
      </c>
      <c r="C61" s="5">
        <v>31</v>
      </c>
      <c r="D61" s="6" t="s">
        <v>132</v>
      </c>
      <c r="E61" s="6" t="s">
        <v>19</v>
      </c>
      <c r="F61" s="37">
        <v>41667</v>
      </c>
      <c r="G61" s="25">
        <f>558+463+349.4</f>
        <v>1370.4</v>
      </c>
      <c r="H61" s="18"/>
      <c r="I61" s="137">
        <f>750*3</f>
        <v>2250</v>
      </c>
      <c r="J61" s="18"/>
      <c r="K61" s="8"/>
      <c r="L61" s="18"/>
      <c r="M61" s="18"/>
      <c r="N61" s="18"/>
      <c r="O61" s="18"/>
      <c r="P61" s="18"/>
      <c r="Q61" s="18">
        <f t="shared" si="0"/>
        <v>3620.4</v>
      </c>
      <c r="R61" s="18">
        <f t="shared" si="1"/>
        <v>0</v>
      </c>
      <c r="S61" s="18">
        <f t="shared" si="2"/>
        <v>3620.4</v>
      </c>
    </row>
    <row r="62" spans="1:19" x14ac:dyDescent="0.25">
      <c r="A62" s="36" t="s">
        <v>133</v>
      </c>
      <c r="B62" s="4" t="s">
        <v>134</v>
      </c>
      <c r="C62" s="5">
        <v>32</v>
      </c>
      <c r="D62" s="6" t="s">
        <v>135</v>
      </c>
      <c r="E62" s="6" t="s">
        <v>19</v>
      </c>
      <c r="F62" s="37">
        <v>41668</v>
      </c>
      <c r="G62" s="25">
        <f>238+328.5+164.4</f>
        <v>730.9</v>
      </c>
      <c r="H62" s="18"/>
      <c r="I62" s="137">
        <v>400</v>
      </c>
      <c r="J62" s="18"/>
      <c r="K62" s="8"/>
      <c r="L62" s="18"/>
      <c r="M62" s="18"/>
      <c r="N62" s="18"/>
      <c r="O62" s="18"/>
      <c r="P62" s="18"/>
      <c r="Q62" s="18">
        <f t="shared" si="0"/>
        <v>1130.9000000000001</v>
      </c>
      <c r="R62" s="18">
        <f t="shared" si="1"/>
        <v>0</v>
      </c>
      <c r="S62" s="18">
        <f t="shared" si="2"/>
        <v>1130.9000000000001</v>
      </c>
    </row>
    <row r="63" spans="1:19" x14ac:dyDescent="0.25">
      <c r="A63" s="36" t="s">
        <v>133</v>
      </c>
      <c r="B63" s="4" t="s">
        <v>134</v>
      </c>
      <c r="C63" s="5">
        <v>32</v>
      </c>
      <c r="D63" s="6" t="s">
        <v>136</v>
      </c>
      <c r="E63" s="6" t="s">
        <v>19</v>
      </c>
      <c r="F63" s="37">
        <v>41668</v>
      </c>
      <c r="G63" s="25">
        <v>84</v>
      </c>
      <c r="H63" s="18"/>
      <c r="I63" s="136"/>
      <c r="J63" s="18"/>
      <c r="K63" s="8"/>
      <c r="L63" s="18"/>
      <c r="M63" s="18"/>
      <c r="N63" s="18"/>
      <c r="O63" s="18"/>
      <c r="P63" s="18"/>
      <c r="Q63" s="18">
        <f t="shared" si="0"/>
        <v>84</v>
      </c>
      <c r="R63" s="18">
        <f t="shared" si="1"/>
        <v>0</v>
      </c>
      <c r="S63" s="18">
        <f t="shared" si="2"/>
        <v>84</v>
      </c>
    </row>
    <row r="64" spans="1:19" x14ac:dyDescent="0.25">
      <c r="A64" s="36" t="s">
        <v>133</v>
      </c>
      <c r="B64" s="4" t="s">
        <v>134</v>
      </c>
      <c r="C64" s="5">
        <v>32</v>
      </c>
      <c r="D64" s="6" t="s">
        <v>137</v>
      </c>
      <c r="E64" s="6" t="s">
        <v>19</v>
      </c>
      <c r="F64" s="37">
        <v>41668</v>
      </c>
      <c r="G64" s="25">
        <v>142</v>
      </c>
      <c r="H64" s="18"/>
      <c r="I64" s="136"/>
      <c r="J64" s="18"/>
      <c r="K64" s="8"/>
      <c r="L64" s="18"/>
      <c r="M64" s="18"/>
      <c r="N64" s="18"/>
      <c r="O64" s="18"/>
      <c r="P64" s="18"/>
      <c r="Q64" s="18">
        <f t="shared" si="0"/>
        <v>142</v>
      </c>
      <c r="R64" s="18">
        <f t="shared" si="1"/>
        <v>0</v>
      </c>
      <c r="S64" s="18">
        <f t="shared" si="2"/>
        <v>142</v>
      </c>
    </row>
    <row r="65" spans="1:19" x14ac:dyDescent="0.25">
      <c r="A65" s="36" t="s">
        <v>138</v>
      </c>
      <c r="B65" s="4" t="s">
        <v>139</v>
      </c>
      <c r="C65" s="5">
        <v>33</v>
      </c>
      <c r="D65" s="6" t="s">
        <v>140</v>
      </c>
      <c r="E65" s="6" t="s">
        <v>141</v>
      </c>
      <c r="F65" s="37">
        <v>41672</v>
      </c>
      <c r="G65" s="25">
        <f>825+1241.07+97.94+1949.31+2345.79+237.77+480+18.56+68.89+23.99+41.3+110.11+88.01+86.69+156.89+260+41.3+21.69+47.2+278.6+23.99+478.42+210+94.93+47.2+116.09+128.85+24.03+202.7+70+140</f>
        <v>9956.3200000000033</v>
      </c>
      <c r="H65" s="18"/>
      <c r="I65" s="136">
        <v>1500</v>
      </c>
      <c r="J65" s="18"/>
      <c r="K65" s="8"/>
      <c r="L65" s="18"/>
      <c r="M65" s="18"/>
      <c r="N65" s="18"/>
      <c r="O65" s="18"/>
      <c r="P65" s="18"/>
      <c r="Q65" s="18">
        <f t="shared" si="0"/>
        <v>11456.320000000003</v>
      </c>
      <c r="R65" s="18">
        <f t="shared" si="1"/>
        <v>0</v>
      </c>
      <c r="S65" s="18">
        <f t="shared" si="2"/>
        <v>11456.320000000003</v>
      </c>
    </row>
    <row r="66" spans="1:19" x14ac:dyDescent="0.25">
      <c r="A66" s="36" t="s">
        <v>138</v>
      </c>
      <c r="B66" s="4" t="s">
        <v>139</v>
      </c>
      <c r="C66" s="5">
        <v>33</v>
      </c>
      <c r="D66" s="6" t="s">
        <v>142</v>
      </c>
      <c r="E66" s="6" t="s">
        <v>141</v>
      </c>
      <c r="F66" s="37">
        <v>41672</v>
      </c>
      <c r="G66" s="38"/>
      <c r="H66" s="18"/>
      <c r="I66" s="136"/>
      <c r="J66" s="18"/>
      <c r="K66" s="8"/>
      <c r="L66" s="18"/>
      <c r="M66" s="25">
        <v>3800</v>
      </c>
      <c r="N66" s="18"/>
      <c r="O66" s="39">
        <v>15200</v>
      </c>
      <c r="P66" s="18"/>
      <c r="Q66" s="18">
        <f t="shared" si="0"/>
        <v>19000</v>
      </c>
      <c r="R66" s="18">
        <f t="shared" si="1"/>
        <v>0</v>
      </c>
      <c r="S66" s="18">
        <f t="shared" si="2"/>
        <v>19000</v>
      </c>
    </row>
    <row r="67" spans="1:19" x14ac:dyDescent="0.25">
      <c r="A67" s="36" t="s">
        <v>138</v>
      </c>
      <c r="B67" s="4" t="s">
        <v>139</v>
      </c>
      <c r="C67" s="5">
        <v>33</v>
      </c>
      <c r="D67" s="6" t="s">
        <v>143</v>
      </c>
      <c r="E67" s="6" t="s">
        <v>141</v>
      </c>
      <c r="F67" s="37">
        <v>41672</v>
      </c>
      <c r="G67" s="25">
        <f>45.8+185</f>
        <v>230.8</v>
      </c>
      <c r="H67" s="18"/>
      <c r="I67" s="136"/>
      <c r="J67" s="18"/>
      <c r="K67" s="8"/>
      <c r="L67" s="18"/>
      <c r="M67" s="18"/>
      <c r="N67" s="18"/>
      <c r="O67" s="18"/>
      <c r="P67" s="18"/>
      <c r="Q67" s="18">
        <f t="shared" si="0"/>
        <v>230.8</v>
      </c>
      <c r="R67" s="18">
        <f t="shared" si="1"/>
        <v>0</v>
      </c>
      <c r="S67" s="18">
        <f t="shared" si="2"/>
        <v>230.8</v>
      </c>
    </row>
    <row r="68" spans="1:19" x14ac:dyDescent="0.25">
      <c r="A68" s="36" t="s">
        <v>144</v>
      </c>
      <c r="B68" s="4" t="s">
        <v>145</v>
      </c>
      <c r="C68" s="5">
        <v>34</v>
      </c>
      <c r="D68" s="6" t="s">
        <v>146</v>
      </c>
      <c r="E68" s="6" t="s">
        <v>19</v>
      </c>
      <c r="F68" s="37">
        <v>41669</v>
      </c>
      <c r="G68" s="25">
        <v>575.63</v>
      </c>
      <c r="H68" s="18"/>
      <c r="I68" s="136"/>
      <c r="J68" s="18"/>
      <c r="K68" s="8"/>
      <c r="L68" s="18"/>
      <c r="M68" s="18"/>
      <c r="N68" s="18"/>
      <c r="O68" s="18"/>
      <c r="P68" s="18"/>
      <c r="Q68" s="18">
        <f t="shared" si="0"/>
        <v>575.63</v>
      </c>
      <c r="R68" s="18">
        <f t="shared" si="1"/>
        <v>0</v>
      </c>
      <c r="S68" s="18">
        <f t="shared" si="2"/>
        <v>575.63</v>
      </c>
    </row>
    <row r="69" spans="1:19" x14ac:dyDescent="0.25">
      <c r="A69" s="36" t="s">
        <v>147</v>
      </c>
      <c r="B69" s="4" t="s">
        <v>148</v>
      </c>
      <c r="C69" s="5">
        <v>35</v>
      </c>
      <c r="D69" s="6" t="s">
        <v>149</v>
      </c>
      <c r="E69" s="6" t="s">
        <v>19</v>
      </c>
      <c r="F69" s="37">
        <v>41672</v>
      </c>
      <c r="G69" s="25">
        <f>238+146.79</f>
        <v>384.78999999999996</v>
      </c>
      <c r="H69" s="18"/>
      <c r="I69" s="136"/>
      <c r="J69" s="18"/>
      <c r="K69" s="8"/>
      <c r="L69" s="18"/>
      <c r="M69" s="18"/>
      <c r="N69" s="18"/>
      <c r="O69" s="18"/>
      <c r="P69" s="18"/>
      <c r="Q69" s="18">
        <f t="shared" si="0"/>
        <v>384.78999999999996</v>
      </c>
      <c r="R69" s="18">
        <f t="shared" si="1"/>
        <v>0</v>
      </c>
      <c r="S69" s="18">
        <f t="shared" si="2"/>
        <v>384.78999999999996</v>
      </c>
    </row>
    <row r="70" spans="1:19" x14ac:dyDescent="0.25">
      <c r="A70" s="36" t="s">
        <v>150</v>
      </c>
      <c r="B70" s="4" t="s">
        <v>151</v>
      </c>
      <c r="C70" s="5">
        <v>36</v>
      </c>
      <c r="D70" s="6" t="s">
        <v>152</v>
      </c>
      <c r="E70" s="6" t="s">
        <v>19</v>
      </c>
      <c r="F70" s="37">
        <v>41675</v>
      </c>
      <c r="G70" s="25">
        <f>74.81</f>
        <v>74.81</v>
      </c>
      <c r="H70" s="18"/>
      <c r="I70" s="136"/>
      <c r="J70" s="18"/>
      <c r="K70" s="8"/>
      <c r="L70" s="18"/>
      <c r="M70" s="18"/>
      <c r="N70" s="18"/>
      <c r="O70" s="18"/>
      <c r="P70" s="18"/>
      <c r="Q70" s="18">
        <f t="shared" si="0"/>
        <v>74.81</v>
      </c>
      <c r="R70" s="18">
        <f t="shared" si="1"/>
        <v>0</v>
      </c>
      <c r="S70" s="18">
        <f t="shared" si="2"/>
        <v>74.81</v>
      </c>
    </row>
    <row r="71" spans="1:19" x14ac:dyDescent="0.25">
      <c r="A71" s="36" t="s">
        <v>153</v>
      </c>
      <c r="B71" s="4" t="s">
        <v>154</v>
      </c>
      <c r="C71" s="5">
        <v>37</v>
      </c>
      <c r="D71" s="6" t="s">
        <v>155</v>
      </c>
      <c r="E71" s="6" t="s">
        <v>19</v>
      </c>
      <c r="F71" s="37">
        <v>41676</v>
      </c>
      <c r="G71" s="25">
        <v>199.7</v>
      </c>
      <c r="H71" s="18"/>
      <c r="I71" s="136"/>
      <c r="J71" s="18"/>
      <c r="K71" s="8"/>
      <c r="L71" s="18"/>
      <c r="M71" s="18"/>
      <c r="N71" s="18"/>
      <c r="O71" s="18"/>
      <c r="P71" s="18"/>
      <c r="Q71" s="18">
        <f t="shared" si="0"/>
        <v>199.7</v>
      </c>
      <c r="R71" s="18">
        <f t="shared" si="1"/>
        <v>0</v>
      </c>
      <c r="S71" s="18">
        <f t="shared" si="2"/>
        <v>199.7</v>
      </c>
    </row>
    <row r="72" spans="1:19" x14ac:dyDescent="0.25">
      <c r="A72" s="36" t="s">
        <v>156</v>
      </c>
      <c r="B72" s="4" t="s">
        <v>157</v>
      </c>
      <c r="C72" s="5">
        <v>38</v>
      </c>
      <c r="D72" s="6" t="s">
        <v>158</v>
      </c>
      <c r="E72" s="6" t="s">
        <v>73</v>
      </c>
      <c r="F72" s="37">
        <v>41675</v>
      </c>
      <c r="G72" s="25">
        <f>38+129</f>
        <v>167</v>
      </c>
      <c r="H72" s="18"/>
      <c r="I72" s="136"/>
      <c r="J72" s="18"/>
      <c r="K72" s="8"/>
      <c r="L72" s="18"/>
      <c r="M72" s="18"/>
      <c r="N72" s="18">
        <v>3800</v>
      </c>
      <c r="O72" s="18">
        <v>15200</v>
      </c>
      <c r="P72" s="18"/>
      <c r="Q72" s="18">
        <f t="shared" si="0"/>
        <v>15367</v>
      </c>
      <c r="R72" s="18">
        <f t="shared" si="1"/>
        <v>3800</v>
      </c>
      <c r="S72" s="18">
        <f t="shared" si="2"/>
        <v>19167</v>
      </c>
    </row>
    <row r="73" spans="1:19" x14ac:dyDescent="0.25">
      <c r="A73" s="36" t="s">
        <v>159</v>
      </c>
      <c r="B73" s="4" t="s">
        <v>160</v>
      </c>
      <c r="C73" s="5">
        <v>39</v>
      </c>
      <c r="D73" s="6" t="s">
        <v>4549</v>
      </c>
      <c r="E73" s="6" t="s">
        <v>73</v>
      </c>
      <c r="F73" s="37">
        <v>41645</v>
      </c>
      <c r="G73" s="25">
        <f>55.15</f>
        <v>55.15</v>
      </c>
      <c r="H73" s="18"/>
      <c r="I73" s="136"/>
      <c r="J73" s="18"/>
      <c r="K73" s="8"/>
      <c r="L73" s="18"/>
      <c r="M73" s="18"/>
      <c r="N73" s="18"/>
      <c r="O73" s="18"/>
      <c r="P73" s="18"/>
      <c r="Q73" s="18">
        <f t="shared" ref="Q73:Q136" si="3">+G73+I73+K73+M73+O73</f>
        <v>55.15</v>
      </c>
      <c r="R73" s="18">
        <f t="shared" ref="R73:R136" si="4">+H73+J73+L73+N73+P73</f>
        <v>0</v>
      </c>
      <c r="S73" s="18">
        <f t="shared" ref="S73:S136" si="5">+Q73+R73</f>
        <v>55.15</v>
      </c>
    </row>
    <row r="74" spans="1:19" x14ac:dyDescent="0.25">
      <c r="A74" s="36" t="s">
        <v>159</v>
      </c>
      <c r="B74" s="4" t="s">
        <v>160</v>
      </c>
      <c r="C74" s="5">
        <v>39</v>
      </c>
      <c r="D74" s="6" t="s">
        <v>161</v>
      </c>
      <c r="E74" s="6" t="s">
        <v>73</v>
      </c>
      <c r="F74" s="37">
        <v>41645</v>
      </c>
      <c r="G74" s="25">
        <f>38+4.3</f>
        <v>42.3</v>
      </c>
      <c r="H74" s="18"/>
      <c r="I74" s="136"/>
      <c r="J74" s="18"/>
      <c r="K74" s="8"/>
      <c r="L74" s="18"/>
      <c r="M74" s="18"/>
      <c r="N74" s="18"/>
      <c r="O74" s="18"/>
      <c r="P74" s="18"/>
      <c r="Q74" s="18">
        <f t="shared" si="3"/>
        <v>42.3</v>
      </c>
      <c r="R74" s="18">
        <f t="shared" si="4"/>
        <v>0</v>
      </c>
      <c r="S74" s="18">
        <f t="shared" si="5"/>
        <v>42.3</v>
      </c>
    </row>
    <row r="75" spans="1:19" x14ac:dyDescent="0.25">
      <c r="A75" s="36" t="s">
        <v>162</v>
      </c>
      <c r="B75" s="4" t="s">
        <v>163</v>
      </c>
      <c r="C75" s="5">
        <v>40</v>
      </c>
      <c r="D75" s="6" t="s">
        <v>164</v>
      </c>
      <c r="E75" s="6" t="s">
        <v>19</v>
      </c>
      <c r="F75" s="37">
        <v>41677</v>
      </c>
      <c r="G75" s="25">
        <v>40</v>
      </c>
      <c r="H75" s="18"/>
      <c r="I75" s="136"/>
      <c r="J75" s="18"/>
      <c r="K75" s="8"/>
      <c r="L75" s="18"/>
      <c r="M75" s="18"/>
      <c r="N75" s="18"/>
      <c r="O75" s="18"/>
      <c r="P75" s="18"/>
      <c r="Q75" s="18">
        <f t="shared" si="3"/>
        <v>40</v>
      </c>
      <c r="R75" s="18">
        <f t="shared" si="4"/>
        <v>0</v>
      </c>
      <c r="S75" s="18">
        <f t="shared" si="5"/>
        <v>40</v>
      </c>
    </row>
    <row r="76" spans="1:19" x14ac:dyDescent="0.25">
      <c r="A76" s="36" t="s">
        <v>165</v>
      </c>
      <c r="B76" s="4" t="s">
        <v>166</v>
      </c>
      <c r="C76" s="5">
        <v>41</v>
      </c>
      <c r="D76" s="6" t="s">
        <v>167</v>
      </c>
      <c r="E76" s="6" t="s">
        <v>19</v>
      </c>
      <c r="F76" s="37">
        <v>41679</v>
      </c>
      <c r="G76" s="25">
        <f>110.5</f>
        <v>110.5</v>
      </c>
      <c r="H76" s="18"/>
      <c r="I76" s="136"/>
      <c r="J76" s="18"/>
      <c r="K76" s="8"/>
      <c r="L76" s="18"/>
      <c r="M76" s="18"/>
      <c r="N76" s="18"/>
      <c r="O76" s="18"/>
      <c r="P76" s="18"/>
      <c r="Q76" s="18">
        <f t="shared" si="3"/>
        <v>110.5</v>
      </c>
      <c r="R76" s="18">
        <f t="shared" si="4"/>
        <v>0</v>
      </c>
      <c r="S76" s="18">
        <f t="shared" si="5"/>
        <v>110.5</v>
      </c>
    </row>
    <row r="77" spans="1:19" x14ac:dyDescent="0.25">
      <c r="A77" s="36" t="s">
        <v>168</v>
      </c>
      <c r="B77" s="4" t="s">
        <v>169</v>
      </c>
      <c r="C77" s="5">
        <v>42</v>
      </c>
      <c r="D77" s="6" t="s">
        <v>170</v>
      </c>
      <c r="E77" s="6" t="s">
        <v>19</v>
      </c>
      <c r="F77" s="37">
        <v>41679</v>
      </c>
      <c r="G77" s="25">
        <f>108</f>
        <v>108</v>
      </c>
      <c r="H77" s="18"/>
      <c r="I77" s="136"/>
      <c r="J77" s="18"/>
      <c r="K77" s="8"/>
      <c r="L77" s="18"/>
      <c r="M77" s="18"/>
      <c r="N77" s="18"/>
      <c r="O77" s="18"/>
      <c r="P77" s="18"/>
      <c r="Q77" s="18">
        <f t="shared" si="3"/>
        <v>108</v>
      </c>
      <c r="R77" s="18">
        <f t="shared" si="4"/>
        <v>0</v>
      </c>
      <c r="S77" s="18">
        <f t="shared" si="5"/>
        <v>108</v>
      </c>
    </row>
    <row r="78" spans="1:19" x14ac:dyDescent="0.25">
      <c r="A78" s="36" t="s">
        <v>171</v>
      </c>
      <c r="B78" s="4" t="s">
        <v>172</v>
      </c>
      <c r="C78" s="5">
        <v>43</v>
      </c>
      <c r="D78" s="6" t="s">
        <v>173</v>
      </c>
      <c r="E78" s="6" t="s">
        <v>19</v>
      </c>
      <c r="F78" s="37">
        <v>41679</v>
      </c>
      <c r="G78" s="25"/>
      <c r="H78" s="18"/>
      <c r="I78" s="136"/>
      <c r="J78" s="18"/>
      <c r="K78" s="8"/>
      <c r="L78" s="18"/>
      <c r="M78" s="18"/>
      <c r="N78" s="18"/>
      <c r="O78" s="18"/>
      <c r="P78" s="18"/>
      <c r="Q78" s="18">
        <f t="shared" si="3"/>
        <v>0</v>
      </c>
      <c r="R78" s="18">
        <f t="shared" si="4"/>
        <v>0</v>
      </c>
      <c r="S78" s="18">
        <f t="shared" si="5"/>
        <v>0</v>
      </c>
    </row>
    <row r="79" spans="1:19" x14ac:dyDescent="0.25">
      <c r="A79" s="36" t="s">
        <v>171</v>
      </c>
      <c r="B79" s="4" t="s">
        <v>172</v>
      </c>
      <c r="C79" s="5">
        <v>43</v>
      </c>
      <c r="D79" s="6" t="s">
        <v>174</v>
      </c>
      <c r="E79" s="6" t="s">
        <v>19</v>
      </c>
      <c r="F79" s="37">
        <v>41679</v>
      </c>
      <c r="G79" s="25"/>
      <c r="H79" s="18"/>
      <c r="I79" s="136"/>
      <c r="J79" s="18"/>
      <c r="K79" s="8"/>
      <c r="L79" s="18"/>
      <c r="M79" s="18"/>
      <c r="N79" s="18"/>
      <c r="O79" s="18"/>
      <c r="P79" s="18"/>
      <c r="Q79" s="18">
        <f t="shared" si="3"/>
        <v>0</v>
      </c>
      <c r="R79" s="18">
        <f t="shared" si="4"/>
        <v>0</v>
      </c>
      <c r="S79" s="18">
        <f t="shared" si="5"/>
        <v>0</v>
      </c>
    </row>
    <row r="80" spans="1:19" x14ac:dyDescent="0.25">
      <c r="A80" s="36" t="s">
        <v>175</v>
      </c>
      <c r="B80" s="4" t="s">
        <v>176</v>
      </c>
      <c r="C80" s="5">
        <v>44</v>
      </c>
      <c r="D80" s="6" t="s">
        <v>177</v>
      </c>
      <c r="E80" s="6" t="s">
        <v>19</v>
      </c>
      <c r="F80" s="37">
        <v>41577</v>
      </c>
      <c r="G80" s="25"/>
      <c r="H80" s="18"/>
      <c r="I80" s="136"/>
      <c r="J80" s="18"/>
      <c r="K80" s="8"/>
      <c r="L80" s="18"/>
      <c r="M80" s="18"/>
      <c r="N80" s="18"/>
      <c r="O80" s="18"/>
      <c r="P80" s="18"/>
      <c r="Q80" s="18">
        <f t="shared" si="3"/>
        <v>0</v>
      </c>
      <c r="R80" s="18">
        <f t="shared" si="4"/>
        <v>0</v>
      </c>
      <c r="S80" s="18">
        <f t="shared" si="5"/>
        <v>0</v>
      </c>
    </row>
    <row r="81" spans="1:19" x14ac:dyDescent="0.25">
      <c r="A81" s="36" t="s">
        <v>175</v>
      </c>
      <c r="B81" s="4" t="s">
        <v>176</v>
      </c>
      <c r="C81" s="5">
        <v>44</v>
      </c>
      <c r="D81" s="6" t="s">
        <v>178</v>
      </c>
      <c r="E81" s="6" t="s">
        <v>19</v>
      </c>
      <c r="F81" s="37">
        <v>41577</v>
      </c>
      <c r="G81" s="25">
        <f>207.5+238</f>
        <v>445.5</v>
      </c>
      <c r="H81" s="18"/>
      <c r="I81" s="136"/>
      <c r="J81" s="18"/>
      <c r="K81" s="8"/>
      <c r="L81" s="18"/>
      <c r="M81" s="18"/>
      <c r="N81" s="18"/>
      <c r="O81" s="18"/>
      <c r="P81" s="18"/>
      <c r="Q81" s="18">
        <f t="shared" si="3"/>
        <v>445.5</v>
      </c>
      <c r="R81" s="18">
        <f t="shared" si="4"/>
        <v>0</v>
      </c>
      <c r="S81" s="18">
        <f t="shared" si="5"/>
        <v>445.5</v>
      </c>
    </row>
    <row r="82" spans="1:19" x14ac:dyDescent="0.25">
      <c r="A82" s="36" t="s">
        <v>175</v>
      </c>
      <c r="B82" s="4" t="s">
        <v>176</v>
      </c>
      <c r="C82" s="5">
        <v>44</v>
      </c>
      <c r="D82" s="6" t="s">
        <v>179</v>
      </c>
      <c r="E82" s="6" t="s">
        <v>19</v>
      </c>
      <c r="F82" s="37">
        <v>41577</v>
      </c>
      <c r="G82" s="25">
        <f>100.5</f>
        <v>100.5</v>
      </c>
      <c r="H82" s="18"/>
      <c r="I82" s="136"/>
      <c r="J82" s="18"/>
      <c r="K82" s="8"/>
      <c r="L82" s="18"/>
      <c r="M82" s="18"/>
      <c r="N82" s="18"/>
      <c r="O82" s="18"/>
      <c r="P82" s="18"/>
      <c r="Q82" s="18">
        <f t="shared" si="3"/>
        <v>100.5</v>
      </c>
      <c r="R82" s="18">
        <f t="shared" si="4"/>
        <v>0</v>
      </c>
      <c r="S82" s="18">
        <f t="shared" si="5"/>
        <v>100.5</v>
      </c>
    </row>
    <row r="83" spans="1:19" x14ac:dyDescent="0.25">
      <c r="A83" s="36" t="s">
        <v>175</v>
      </c>
      <c r="B83" s="4" t="s">
        <v>176</v>
      </c>
      <c r="C83" s="5">
        <v>44</v>
      </c>
      <c r="D83" s="6" t="s">
        <v>180</v>
      </c>
      <c r="E83" s="6" t="s">
        <v>19</v>
      </c>
      <c r="F83" s="37">
        <v>41577</v>
      </c>
      <c r="G83" s="25">
        <f>49</f>
        <v>49</v>
      </c>
      <c r="H83" s="18"/>
      <c r="I83" s="136"/>
      <c r="J83" s="18"/>
      <c r="K83" s="8"/>
      <c r="L83" s="18"/>
      <c r="M83" s="18"/>
      <c r="N83" s="18"/>
      <c r="O83" s="18"/>
      <c r="P83" s="18"/>
      <c r="Q83" s="18">
        <f t="shared" si="3"/>
        <v>49</v>
      </c>
      <c r="R83" s="18">
        <f t="shared" si="4"/>
        <v>0</v>
      </c>
      <c r="S83" s="18">
        <f t="shared" si="5"/>
        <v>49</v>
      </c>
    </row>
    <row r="84" spans="1:19" x14ac:dyDescent="0.25">
      <c r="A84" s="36" t="s">
        <v>175</v>
      </c>
      <c r="B84" s="4" t="s">
        <v>176</v>
      </c>
      <c r="C84" s="5">
        <v>44</v>
      </c>
      <c r="D84" s="6" t="s">
        <v>181</v>
      </c>
      <c r="E84" s="6" t="s">
        <v>19</v>
      </c>
      <c r="F84" s="37">
        <v>41577</v>
      </c>
      <c r="G84" s="25">
        <f>49</f>
        <v>49</v>
      </c>
      <c r="H84" s="18"/>
      <c r="I84" s="136"/>
      <c r="J84" s="18"/>
      <c r="K84" s="8"/>
      <c r="L84" s="18"/>
      <c r="M84" s="18"/>
      <c r="N84" s="18"/>
      <c r="O84" s="18"/>
      <c r="P84" s="18"/>
      <c r="Q84" s="18">
        <f t="shared" si="3"/>
        <v>49</v>
      </c>
      <c r="R84" s="18">
        <f t="shared" si="4"/>
        <v>0</v>
      </c>
      <c r="S84" s="18">
        <f t="shared" si="5"/>
        <v>49</v>
      </c>
    </row>
    <row r="85" spans="1:19" x14ac:dyDescent="0.25">
      <c r="A85" s="36" t="s">
        <v>175</v>
      </c>
      <c r="B85" s="4" t="s">
        <v>176</v>
      </c>
      <c r="C85" s="5">
        <v>44</v>
      </c>
      <c r="D85" s="6" t="s">
        <v>177</v>
      </c>
      <c r="E85" s="6" t="s">
        <v>19</v>
      </c>
      <c r="F85" s="37">
        <v>41577</v>
      </c>
      <c r="G85" s="25">
        <f>106.5</f>
        <v>106.5</v>
      </c>
      <c r="H85" s="18"/>
      <c r="I85" s="136"/>
      <c r="J85" s="18"/>
      <c r="K85" s="8"/>
      <c r="L85" s="18"/>
      <c r="M85" s="18"/>
      <c r="N85" s="18"/>
      <c r="O85" s="18"/>
      <c r="P85" s="18"/>
      <c r="Q85" s="18">
        <f t="shared" si="3"/>
        <v>106.5</v>
      </c>
      <c r="R85" s="18">
        <f t="shared" si="4"/>
        <v>0</v>
      </c>
      <c r="S85" s="18">
        <f t="shared" si="5"/>
        <v>106.5</v>
      </c>
    </row>
    <row r="86" spans="1:19" x14ac:dyDescent="0.25">
      <c r="A86" s="36" t="s">
        <v>182</v>
      </c>
      <c r="B86" s="4" t="s">
        <v>183</v>
      </c>
      <c r="C86" s="5">
        <v>45</v>
      </c>
      <c r="D86" s="6" t="s">
        <v>184</v>
      </c>
      <c r="E86" s="6" t="s">
        <v>19</v>
      </c>
      <c r="F86" s="37">
        <v>41678</v>
      </c>
      <c r="G86" s="25">
        <v>233.4</v>
      </c>
      <c r="H86" s="18"/>
      <c r="I86" s="136"/>
      <c r="J86" s="18"/>
      <c r="K86" s="8"/>
      <c r="L86" s="18"/>
      <c r="M86" s="18"/>
      <c r="N86" s="18"/>
      <c r="O86" s="18"/>
      <c r="P86" s="18"/>
      <c r="Q86" s="18">
        <f t="shared" si="3"/>
        <v>233.4</v>
      </c>
      <c r="R86" s="18">
        <f t="shared" si="4"/>
        <v>0</v>
      </c>
      <c r="S86" s="18">
        <f t="shared" si="5"/>
        <v>233.4</v>
      </c>
    </row>
    <row r="87" spans="1:19" x14ac:dyDescent="0.25">
      <c r="A87" s="36" t="s">
        <v>185</v>
      </c>
      <c r="B87" s="4" t="s">
        <v>186</v>
      </c>
      <c r="C87" s="5">
        <v>46</v>
      </c>
      <c r="D87" s="6" t="s">
        <v>187</v>
      </c>
      <c r="E87" s="6" t="s">
        <v>19</v>
      </c>
      <c r="F87" s="37">
        <v>41680</v>
      </c>
      <c r="G87" s="25">
        <f>127.62</f>
        <v>127.62</v>
      </c>
      <c r="H87" s="18"/>
      <c r="I87" s="136"/>
      <c r="J87" s="18"/>
      <c r="K87" s="8"/>
      <c r="L87" s="18"/>
      <c r="M87" s="18"/>
      <c r="N87" s="18"/>
      <c r="O87" s="18"/>
      <c r="P87" s="18"/>
      <c r="Q87" s="18">
        <f t="shared" si="3"/>
        <v>127.62</v>
      </c>
      <c r="R87" s="18">
        <f t="shared" si="4"/>
        <v>0</v>
      </c>
      <c r="S87" s="18">
        <f t="shared" si="5"/>
        <v>127.62</v>
      </c>
    </row>
    <row r="88" spans="1:19" x14ac:dyDescent="0.25">
      <c r="A88" s="36" t="s">
        <v>185</v>
      </c>
      <c r="B88" s="4" t="s">
        <v>186</v>
      </c>
      <c r="C88" s="5">
        <v>46</v>
      </c>
      <c r="D88" s="6" t="s">
        <v>188</v>
      </c>
      <c r="E88" s="6" t="s">
        <v>19</v>
      </c>
      <c r="F88" s="37">
        <v>41680</v>
      </c>
      <c r="G88" s="25">
        <f>47.2</f>
        <v>47.2</v>
      </c>
      <c r="H88" s="18"/>
      <c r="I88" s="136"/>
      <c r="J88" s="18"/>
      <c r="K88" s="8"/>
      <c r="L88" s="18"/>
      <c r="M88" s="18"/>
      <c r="N88" s="18"/>
      <c r="O88" s="18"/>
      <c r="P88" s="18"/>
      <c r="Q88" s="18">
        <f t="shared" si="3"/>
        <v>47.2</v>
      </c>
      <c r="R88" s="18">
        <f t="shared" si="4"/>
        <v>0</v>
      </c>
      <c r="S88" s="18">
        <f t="shared" si="5"/>
        <v>47.2</v>
      </c>
    </row>
    <row r="89" spans="1:19" x14ac:dyDescent="0.25">
      <c r="A89" s="36" t="s">
        <v>189</v>
      </c>
      <c r="B89" s="4" t="s">
        <v>190</v>
      </c>
      <c r="C89" s="5">
        <v>47</v>
      </c>
      <c r="D89" s="6" t="s">
        <v>191</v>
      </c>
      <c r="E89" s="6" t="s">
        <v>19</v>
      </c>
      <c r="F89" s="37">
        <v>41680</v>
      </c>
      <c r="G89" s="25">
        <f>84.44</f>
        <v>84.44</v>
      </c>
      <c r="H89" s="18"/>
      <c r="I89" s="136"/>
      <c r="J89" s="18"/>
      <c r="K89" s="8"/>
      <c r="L89" s="18"/>
      <c r="M89" s="18"/>
      <c r="N89" s="18"/>
      <c r="O89" s="18"/>
      <c r="P89" s="18"/>
      <c r="Q89" s="18">
        <f t="shared" si="3"/>
        <v>84.44</v>
      </c>
      <c r="R89" s="18">
        <f t="shared" si="4"/>
        <v>0</v>
      </c>
      <c r="S89" s="18">
        <f t="shared" si="5"/>
        <v>84.44</v>
      </c>
    </row>
    <row r="90" spans="1:19" x14ac:dyDescent="0.25">
      <c r="A90" s="36" t="s">
        <v>189</v>
      </c>
      <c r="B90" s="4" t="s">
        <v>190</v>
      </c>
      <c r="C90" s="5">
        <v>47</v>
      </c>
      <c r="D90" s="6" t="s">
        <v>192</v>
      </c>
      <c r="E90" s="6" t="s">
        <v>19</v>
      </c>
      <c r="F90" s="37">
        <v>41680</v>
      </c>
      <c r="G90" s="25">
        <v>90.34</v>
      </c>
      <c r="H90" s="18"/>
      <c r="I90" s="136"/>
      <c r="J90" s="18"/>
      <c r="K90" s="8"/>
      <c r="L90" s="18"/>
      <c r="M90" s="18"/>
      <c r="N90" s="18"/>
      <c r="O90" s="18"/>
      <c r="P90" s="18"/>
      <c r="Q90" s="18">
        <f t="shared" si="3"/>
        <v>90.34</v>
      </c>
      <c r="R90" s="18">
        <f t="shared" si="4"/>
        <v>0</v>
      </c>
      <c r="S90" s="18">
        <f t="shared" si="5"/>
        <v>90.34</v>
      </c>
    </row>
    <row r="91" spans="1:19" x14ac:dyDescent="0.25">
      <c r="A91" s="36" t="s">
        <v>193</v>
      </c>
      <c r="B91" s="4" t="s">
        <v>194</v>
      </c>
      <c r="C91" s="5">
        <v>48</v>
      </c>
      <c r="D91" s="6" t="s">
        <v>195</v>
      </c>
      <c r="E91" s="6" t="s">
        <v>19</v>
      </c>
      <c r="F91" s="37">
        <v>41682</v>
      </c>
      <c r="G91" s="25">
        <v>260.26</v>
      </c>
      <c r="H91" s="18"/>
      <c r="I91" s="136"/>
      <c r="J91" s="18"/>
      <c r="K91" s="8"/>
      <c r="L91" s="18"/>
      <c r="M91" s="18"/>
      <c r="N91" s="18"/>
      <c r="O91" s="18"/>
      <c r="P91" s="18"/>
      <c r="Q91" s="18">
        <f t="shared" si="3"/>
        <v>260.26</v>
      </c>
      <c r="R91" s="18">
        <f t="shared" si="4"/>
        <v>0</v>
      </c>
      <c r="S91" s="18">
        <f t="shared" si="5"/>
        <v>260.26</v>
      </c>
    </row>
    <row r="92" spans="1:19" x14ac:dyDescent="0.25">
      <c r="A92" s="36" t="s">
        <v>196</v>
      </c>
      <c r="B92" s="4" t="s">
        <v>197</v>
      </c>
      <c r="C92" s="5">
        <v>49</v>
      </c>
      <c r="D92" s="6" t="s">
        <v>198</v>
      </c>
      <c r="E92" s="6" t="s">
        <v>19</v>
      </c>
      <c r="F92" s="37">
        <v>41678</v>
      </c>
      <c r="G92" s="25">
        <f>558+141+535.84+141.91</f>
        <v>1376.7500000000002</v>
      </c>
      <c r="H92" s="18"/>
      <c r="I92" s="136"/>
      <c r="J92" s="18"/>
      <c r="K92" s="8"/>
      <c r="L92" s="18"/>
      <c r="M92" s="18"/>
      <c r="N92" s="18"/>
      <c r="O92" s="18"/>
      <c r="P92" s="18"/>
      <c r="Q92" s="18">
        <f t="shared" si="3"/>
        <v>1376.7500000000002</v>
      </c>
      <c r="R92" s="18">
        <f t="shared" si="4"/>
        <v>0</v>
      </c>
      <c r="S92" s="18">
        <f t="shared" si="5"/>
        <v>1376.7500000000002</v>
      </c>
    </row>
    <row r="93" spans="1:19" x14ac:dyDescent="0.25">
      <c r="A93" s="36" t="s">
        <v>199</v>
      </c>
      <c r="B93" s="4" t="s">
        <v>200</v>
      </c>
      <c r="C93" s="5">
        <v>50</v>
      </c>
      <c r="D93" s="6" t="s">
        <v>201</v>
      </c>
      <c r="E93" s="6" t="s">
        <v>19</v>
      </c>
      <c r="F93" s="37">
        <v>41685</v>
      </c>
      <c r="G93" s="25">
        <f>172.09+148.95+141.96+236.6+122.15+301.7+74.45+301.7+74.45+41.3+301.7+75.83+288.68</f>
        <v>2281.56</v>
      </c>
      <c r="H93" s="18"/>
      <c r="I93" s="136"/>
      <c r="J93" s="18"/>
      <c r="K93" s="8"/>
      <c r="L93" s="18"/>
      <c r="M93" s="18"/>
      <c r="N93" s="18"/>
      <c r="O93" s="18"/>
      <c r="P93" s="18"/>
      <c r="Q93" s="18">
        <f t="shared" si="3"/>
        <v>2281.56</v>
      </c>
      <c r="R93" s="18">
        <f t="shared" si="4"/>
        <v>0</v>
      </c>
      <c r="S93" s="18">
        <f t="shared" si="5"/>
        <v>2281.56</v>
      </c>
    </row>
    <row r="94" spans="1:19" x14ac:dyDescent="0.25">
      <c r="A94" s="36" t="s">
        <v>202</v>
      </c>
      <c r="B94" s="4" t="s">
        <v>203</v>
      </c>
      <c r="C94" s="5">
        <v>51</v>
      </c>
      <c r="D94" s="6" t="s">
        <v>204</v>
      </c>
      <c r="E94" s="6" t="s">
        <v>19</v>
      </c>
      <c r="F94" s="37">
        <v>41669</v>
      </c>
      <c r="G94" s="25">
        <v>145.44999999999999</v>
      </c>
      <c r="H94" s="18"/>
      <c r="I94" s="136"/>
      <c r="J94" s="18"/>
      <c r="K94" s="8"/>
      <c r="L94" s="18"/>
      <c r="M94" s="18"/>
      <c r="N94" s="18"/>
      <c r="O94" s="18"/>
      <c r="P94" s="18"/>
      <c r="Q94" s="18">
        <f t="shared" si="3"/>
        <v>145.44999999999999</v>
      </c>
      <c r="R94" s="18">
        <f t="shared" si="4"/>
        <v>0</v>
      </c>
      <c r="S94" s="18">
        <f t="shared" si="5"/>
        <v>145.44999999999999</v>
      </c>
    </row>
    <row r="95" spans="1:19" x14ac:dyDescent="0.25">
      <c r="A95" s="36" t="s">
        <v>205</v>
      </c>
      <c r="B95" s="4" t="s">
        <v>206</v>
      </c>
      <c r="C95" s="5">
        <v>52</v>
      </c>
      <c r="D95" s="6" t="s">
        <v>207</v>
      </c>
      <c r="E95" s="6" t="s">
        <v>19</v>
      </c>
      <c r="F95" s="37">
        <v>41687</v>
      </c>
      <c r="G95" s="25">
        <v>113.53</v>
      </c>
      <c r="H95" s="18"/>
      <c r="I95" s="136"/>
      <c r="J95" s="18"/>
      <c r="K95" s="8"/>
      <c r="L95" s="18"/>
      <c r="M95" s="18"/>
      <c r="N95" s="18"/>
      <c r="O95" s="18"/>
      <c r="P95" s="18"/>
      <c r="Q95" s="18">
        <f t="shared" si="3"/>
        <v>113.53</v>
      </c>
      <c r="R95" s="18">
        <f t="shared" si="4"/>
        <v>0</v>
      </c>
      <c r="S95" s="18">
        <f t="shared" si="5"/>
        <v>113.53</v>
      </c>
    </row>
    <row r="96" spans="1:19" x14ac:dyDescent="0.25">
      <c r="A96" s="36" t="s">
        <v>208</v>
      </c>
      <c r="B96" s="4" t="s">
        <v>209</v>
      </c>
      <c r="C96" s="5">
        <v>53</v>
      </c>
      <c r="D96" s="6" t="s">
        <v>210</v>
      </c>
      <c r="E96" s="6" t="s">
        <v>19</v>
      </c>
      <c r="F96" s="37">
        <v>41684</v>
      </c>
      <c r="G96" s="25">
        <v>141.82</v>
      </c>
      <c r="H96" s="18"/>
      <c r="I96" s="136"/>
      <c r="J96" s="18"/>
      <c r="K96" s="8"/>
      <c r="L96" s="18"/>
      <c r="M96" s="18"/>
      <c r="N96" s="18"/>
      <c r="O96" s="18"/>
      <c r="P96" s="18"/>
      <c r="Q96" s="18">
        <f t="shared" si="3"/>
        <v>141.82</v>
      </c>
      <c r="R96" s="18">
        <f t="shared" si="4"/>
        <v>0</v>
      </c>
      <c r="S96" s="18">
        <f t="shared" si="5"/>
        <v>141.82</v>
      </c>
    </row>
    <row r="97" spans="1:19" x14ac:dyDescent="0.25">
      <c r="A97" s="36" t="s">
        <v>211</v>
      </c>
      <c r="B97" s="4" t="s">
        <v>212</v>
      </c>
      <c r="C97" s="5">
        <v>54</v>
      </c>
      <c r="D97" s="6" t="s">
        <v>213</v>
      </c>
      <c r="E97" s="6" t="s">
        <v>19</v>
      </c>
      <c r="F97" s="37">
        <v>41690</v>
      </c>
      <c r="G97" s="25">
        <f>41.3+47.2+47.2+260+47.2+372.3</f>
        <v>815.2</v>
      </c>
      <c r="H97" s="18"/>
      <c r="I97" s="136"/>
      <c r="J97" s="18"/>
      <c r="K97" s="8"/>
      <c r="L97" s="18"/>
      <c r="M97" s="18"/>
      <c r="N97" s="18"/>
      <c r="O97" s="18"/>
      <c r="P97" s="18"/>
      <c r="Q97" s="18">
        <f t="shared" si="3"/>
        <v>815.2</v>
      </c>
      <c r="R97" s="18">
        <f t="shared" si="4"/>
        <v>0</v>
      </c>
      <c r="S97" s="18">
        <f t="shared" si="5"/>
        <v>815.2</v>
      </c>
    </row>
    <row r="98" spans="1:19" x14ac:dyDescent="0.25">
      <c r="A98" s="36" t="s">
        <v>211</v>
      </c>
      <c r="B98" s="4" t="s">
        <v>212</v>
      </c>
      <c r="C98" s="5">
        <v>54</v>
      </c>
      <c r="D98" s="6" t="s">
        <v>214</v>
      </c>
      <c r="E98" s="6" t="s">
        <v>19</v>
      </c>
      <c r="F98" s="37">
        <v>41690</v>
      </c>
      <c r="G98" s="25">
        <f>138+182.5+75.88+99.61+160.72+83.9</f>
        <v>740.61</v>
      </c>
      <c r="H98" s="18"/>
      <c r="I98" s="137">
        <f>75+750</f>
        <v>825</v>
      </c>
      <c r="J98" s="18"/>
      <c r="K98" s="8"/>
      <c r="L98" s="18"/>
      <c r="M98" s="18"/>
      <c r="N98" s="18"/>
      <c r="O98" s="18"/>
      <c r="P98" s="18"/>
      <c r="Q98" s="18">
        <f t="shared" si="3"/>
        <v>1565.6100000000001</v>
      </c>
      <c r="R98" s="18">
        <f t="shared" si="4"/>
        <v>0</v>
      </c>
      <c r="S98" s="18">
        <f t="shared" si="5"/>
        <v>1565.6100000000001</v>
      </c>
    </row>
    <row r="99" spans="1:19" x14ac:dyDescent="0.25">
      <c r="A99" s="36" t="s">
        <v>211</v>
      </c>
      <c r="B99" s="4" t="s">
        <v>212</v>
      </c>
      <c r="C99" s="5">
        <v>54</v>
      </c>
      <c r="D99" s="6" t="s">
        <v>215</v>
      </c>
      <c r="E99" s="6" t="s">
        <v>19</v>
      </c>
      <c r="F99" s="37">
        <v>41690</v>
      </c>
      <c r="G99" s="25">
        <v>247.8</v>
      </c>
      <c r="H99" s="18"/>
      <c r="I99" s="136"/>
      <c r="J99" s="18"/>
      <c r="K99" s="8"/>
      <c r="L99" s="18"/>
      <c r="M99" s="18"/>
      <c r="N99" s="18"/>
      <c r="O99" s="18"/>
      <c r="P99" s="18"/>
      <c r="Q99" s="18">
        <f t="shared" si="3"/>
        <v>247.8</v>
      </c>
      <c r="R99" s="18">
        <f t="shared" si="4"/>
        <v>0</v>
      </c>
      <c r="S99" s="18">
        <f t="shared" si="5"/>
        <v>247.8</v>
      </c>
    </row>
    <row r="100" spans="1:19" x14ac:dyDescent="0.25">
      <c r="A100" s="36" t="s">
        <v>211</v>
      </c>
      <c r="B100" s="4" t="s">
        <v>212</v>
      </c>
      <c r="C100" s="5">
        <v>54</v>
      </c>
      <c r="D100" s="6" t="s">
        <v>216</v>
      </c>
      <c r="E100" s="6" t="s">
        <v>19</v>
      </c>
      <c r="F100" s="37">
        <v>41690</v>
      </c>
      <c r="G100" s="25">
        <v>200</v>
      </c>
      <c r="H100" s="18"/>
      <c r="I100" s="136"/>
      <c r="J100" s="18"/>
      <c r="K100" s="8"/>
      <c r="L100" s="18"/>
      <c r="M100" s="18"/>
      <c r="N100" s="18"/>
      <c r="O100" s="18"/>
      <c r="P100" s="18"/>
      <c r="Q100" s="18">
        <f t="shared" si="3"/>
        <v>200</v>
      </c>
      <c r="R100" s="18">
        <f t="shared" si="4"/>
        <v>0</v>
      </c>
      <c r="S100" s="18">
        <f t="shared" si="5"/>
        <v>200</v>
      </c>
    </row>
    <row r="101" spans="1:19" x14ac:dyDescent="0.25">
      <c r="A101" s="36" t="s">
        <v>211</v>
      </c>
      <c r="B101" s="4" t="s">
        <v>212</v>
      </c>
      <c r="C101" s="5">
        <v>54</v>
      </c>
      <c r="D101" s="6" t="s">
        <v>217</v>
      </c>
      <c r="E101" s="6" t="s">
        <v>19</v>
      </c>
      <c r="F101" s="37">
        <v>41690</v>
      </c>
      <c r="G101" s="25">
        <f>18.56+185+176.1+35</f>
        <v>414.65999999999997</v>
      </c>
      <c r="H101" s="18"/>
      <c r="I101" s="136"/>
      <c r="J101" s="18"/>
      <c r="K101" s="8"/>
      <c r="L101" s="18"/>
      <c r="M101" s="18"/>
      <c r="N101" s="18"/>
      <c r="O101" s="18"/>
      <c r="P101" s="18"/>
      <c r="Q101" s="18">
        <f t="shared" si="3"/>
        <v>414.65999999999997</v>
      </c>
      <c r="R101" s="18">
        <f t="shared" si="4"/>
        <v>0</v>
      </c>
      <c r="S101" s="18">
        <f t="shared" si="5"/>
        <v>414.65999999999997</v>
      </c>
    </row>
    <row r="102" spans="1:19" x14ac:dyDescent="0.25">
      <c r="A102" s="36" t="s">
        <v>211</v>
      </c>
      <c r="B102" s="4" t="s">
        <v>212</v>
      </c>
      <c r="C102" s="5">
        <v>54</v>
      </c>
      <c r="D102" s="6" t="s">
        <v>218</v>
      </c>
      <c r="E102" s="6" t="s">
        <v>19</v>
      </c>
      <c r="F102" s="37">
        <v>41690</v>
      </c>
      <c r="G102" s="25">
        <f>190.58+222.1</f>
        <v>412.68</v>
      </c>
      <c r="H102" s="18"/>
      <c r="I102" s="136"/>
      <c r="J102" s="18"/>
      <c r="K102" s="8"/>
      <c r="L102" s="18"/>
      <c r="M102" s="18"/>
      <c r="N102" s="18"/>
      <c r="O102" s="18"/>
      <c r="P102" s="18"/>
      <c r="Q102" s="18">
        <f t="shared" si="3"/>
        <v>412.68</v>
      </c>
      <c r="R102" s="18">
        <f t="shared" si="4"/>
        <v>0</v>
      </c>
      <c r="S102" s="18">
        <f t="shared" si="5"/>
        <v>412.68</v>
      </c>
    </row>
    <row r="103" spans="1:19" x14ac:dyDescent="0.25">
      <c r="A103" s="36" t="s">
        <v>219</v>
      </c>
      <c r="B103" s="4" t="s">
        <v>220</v>
      </c>
      <c r="C103" s="5">
        <v>55</v>
      </c>
      <c r="D103" s="6" t="s">
        <v>221</v>
      </c>
      <c r="E103" s="6" t="s">
        <v>19</v>
      </c>
      <c r="F103" s="37">
        <v>41688</v>
      </c>
      <c r="G103" s="25">
        <v>113</v>
      </c>
      <c r="H103" s="18"/>
      <c r="I103" s="136"/>
      <c r="J103" s="18"/>
      <c r="K103" s="8"/>
      <c r="L103" s="18"/>
      <c r="M103" s="18"/>
      <c r="N103" s="18"/>
      <c r="O103" s="18"/>
      <c r="P103" s="18"/>
      <c r="Q103" s="18">
        <f t="shared" si="3"/>
        <v>113</v>
      </c>
      <c r="R103" s="18">
        <f t="shared" si="4"/>
        <v>0</v>
      </c>
      <c r="S103" s="18">
        <f t="shared" si="5"/>
        <v>113</v>
      </c>
    </row>
    <row r="104" spans="1:19" x14ac:dyDescent="0.25">
      <c r="A104" s="36" t="s">
        <v>219</v>
      </c>
      <c r="B104" s="4" t="s">
        <v>220</v>
      </c>
      <c r="C104" s="5">
        <v>55</v>
      </c>
      <c r="D104" s="6" t="s">
        <v>222</v>
      </c>
      <c r="E104" s="6" t="s">
        <v>19</v>
      </c>
      <c r="F104" s="37">
        <v>41688</v>
      </c>
      <c r="G104" s="25">
        <f>238+180</f>
        <v>418</v>
      </c>
      <c r="H104" s="18"/>
      <c r="I104" s="136"/>
      <c r="J104" s="18"/>
      <c r="K104" s="8"/>
      <c r="L104" s="18"/>
      <c r="M104" s="18"/>
      <c r="N104" s="18"/>
      <c r="O104" s="18"/>
      <c r="P104" s="18"/>
      <c r="Q104" s="18">
        <f t="shared" si="3"/>
        <v>418</v>
      </c>
      <c r="R104" s="18">
        <f t="shared" si="4"/>
        <v>0</v>
      </c>
      <c r="S104" s="18">
        <f t="shared" si="5"/>
        <v>418</v>
      </c>
    </row>
    <row r="105" spans="1:19" x14ac:dyDescent="0.25">
      <c r="A105" s="36" t="s">
        <v>223</v>
      </c>
      <c r="B105" s="4" t="s">
        <v>224</v>
      </c>
      <c r="C105" s="5">
        <v>56</v>
      </c>
      <c r="D105" s="6" t="s">
        <v>225</v>
      </c>
      <c r="E105" s="6" t="s">
        <v>19</v>
      </c>
      <c r="F105" s="37">
        <v>41689</v>
      </c>
      <c r="G105" s="25">
        <v>154.80000000000001</v>
      </c>
      <c r="H105" s="18"/>
      <c r="I105" s="136"/>
      <c r="J105" s="18"/>
      <c r="K105" s="8"/>
      <c r="L105" s="18"/>
      <c r="M105" s="18"/>
      <c r="N105" s="18"/>
      <c r="O105" s="18"/>
      <c r="P105" s="18"/>
      <c r="Q105" s="18">
        <f t="shared" si="3"/>
        <v>154.80000000000001</v>
      </c>
      <c r="R105" s="18">
        <f t="shared" si="4"/>
        <v>0</v>
      </c>
      <c r="S105" s="18">
        <f t="shared" si="5"/>
        <v>154.80000000000001</v>
      </c>
    </row>
    <row r="106" spans="1:19" x14ac:dyDescent="0.25">
      <c r="A106" s="36" t="s">
        <v>223</v>
      </c>
      <c r="B106" s="4" t="s">
        <v>224</v>
      </c>
      <c r="C106" s="5">
        <v>56</v>
      </c>
      <c r="D106" s="6" t="s">
        <v>226</v>
      </c>
      <c r="E106" s="6" t="s">
        <v>19</v>
      </c>
      <c r="F106" s="37">
        <v>41689</v>
      </c>
      <c r="G106" s="25">
        <v>144.4</v>
      </c>
      <c r="H106" s="18"/>
      <c r="I106" s="136"/>
      <c r="J106" s="18"/>
      <c r="K106" s="8"/>
      <c r="L106" s="18"/>
      <c r="M106" s="18"/>
      <c r="N106" s="18"/>
      <c r="O106" s="18"/>
      <c r="P106" s="18"/>
      <c r="Q106" s="18">
        <f t="shared" si="3"/>
        <v>144.4</v>
      </c>
      <c r="R106" s="18">
        <f t="shared" si="4"/>
        <v>0</v>
      </c>
      <c r="S106" s="18">
        <f t="shared" si="5"/>
        <v>144.4</v>
      </c>
    </row>
    <row r="107" spans="1:19" x14ac:dyDescent="0.25">
      <c r="A107" s="36" t="s">
        <v>227</v>
      </c>
      <c r="B107" s="4" t="s">
        <v>228</v>
      </c>
      <c r="C107" s="5">
        <v>57</v>
      </c>
      <c r="D107" s="6" t="s">
        <v>229</v>
      </c>
      <c r="E107" s="6" t="s">
        <v>19</v>
      </c>
      <c r="F107" s="37">
        <v>41686</v>
      </c>
      <c r="G107" s="25">
        <f>143.84</f>
        <v>143.84</v>
      </c>
      <c r="H107" s="18"/>
      <c r="I107" s="136"/>
      <c r="J107" s="18"/>
      <c r="K107" s="8"/>
      <c r="L107" s="18"/>
      <c r="M107" s="18"/>
      <c r="N107" s="18"/>
      <c r="O107" s="18"/>
      <c r="P107" s="18"/>
      <c r="Q107" s="18">
        <f t="shared" si="3"/>
        <v>143.84</v>
      </c>
      <c r="R107" s="18">
        <f t="shared" si="4"/>
        <v>0</v>
      </c>
      <c r="S107" s="18">
        <f t="shared" si="5"/>
        <v>143.84</v>
      </c>
    </row>
    <row r="108" spans="1:19" x14ac:dyDescent="0.25">
      <c r="A108" s="36" t="s">
        <v>230</v>
      </c>
      <c r="B108" s="4" t="s">
        <v>231</v>
      </c>
      <c r="C108" s="5">
        <v>58</v>
      </c>
      <c r="D108" s="6" t="s">
        <v>232</v>
      </c>
      <c r="E108" s="6" t="s">
        <v>19</v>
      </c>
      <c r="F108" s="37">
        <v>41644</v>
      </c>
      <c r="G108" s="25">
        <v>58.41</v>
      </c>
      <c r="H108" s="18"/>
      <c r="I108" s="136"/>
      <c r="J108" s="18"/>
      <c r="K108" s="8"/>
      <c r="L108" s="18"/>
      <c r="M108" s="18"/>
      <c r="N108" s="18"/>
      <c r="O108" s="18"/>
      <c r="P108" s="18"/>
      <c r="Q108" s="18">
        <f t="shared" si="3"/>
        <v>58.41</v>
      </c>
      <c r="R108" s="18">
        <f t="shared" si="4"/>
        <v>0</v>
      </c>
      <c r="S108" s="18">
        <f t="shared" si="5"/>
        <v>58.41</v>
      </c>
    </row>
    <row r="109" spans="1:19" x14ac:dyDescent="0.25">
      <c r="A109" s="36" t="s">
        <v>230</v>
      </c>
      <c r="B109" s="4" t="s">
        <v>231</v>
      </c>
      <c r="C109" s="5">
        <v>58</v>
      </c>
      <c r="D109" s="6" t="s">
        <v>233</v>
      </c>
      <c r="E109" s="6" t="s">
        <v>19</v>
      </c>
      <c r="F109" s="37">
        <v>41644</v>
      </c>
      <c r="G109" s="25">
        <v>47.2</v>
      </c>
      <c r="H109" s="18"/>
      <c r="I109" s="136"/>
      <c r="J109" s="18"/>
      <c r="K109" s="8"/>
      <c r="L109" s="18"/>
      <c r="M109" s="18"/>
      <c r="N109" s="18"/>
      <c r="O109" s="18"/>
      <c r="P109" s="18"/>
      <c r="Q109" s="18">
        <f t="shared" si="3"/>
        <v>47.2</v>
      </c>
      <c r="R109" s="18">
        <f t="shared" si="4"/>
        <v>0</v>
      </c>
      <c r="S109" s="18">
        <f t="shared" si="5"/>
        <v>47.2</v>
      </c>
    </row>
    <row r="110" spans="1:19" x14ac:dyDescent="0.25">
      <c r="A110" s="36" t="s">
        <v>234</v>
      </c>
      <c r="B110" s="4" t="s">
        <v>235</v>
      </c>
      <c r="C110" s="5">
        <v>59</v>
      </c>
      <c r="D110" s="6" t="s">
        <v>236</v>
      </c>
      <c r="E110" s="6" t="s">
        <v>19</v>
      </c>
      <c r="F110" s="37">
        <v>41692</v>
      </c>
      <c r="G110" s="25">
        <f>46+4800+99.3+2564.8+105.4</f>
        <v>7615.5</v>
      </c>
      <c r="H110" s="18"/>
      <c r="I110" s="136"/>
      <c r="J110" s="18"/>
      <c r="K110" s="8"/>
      <c r="L110" s="18"/>
      <c r="M110" s="18"/>
      <c r="N110" s="18"/>
      <c r="O110" s="18"/>
      <c r="P110" s="18"/>
      <c r="Q110" s="18">
        <f t="shared" si="3"/>
        <v>7615.5</v>
      </c>
      <c r="R110" s="18">
        <f t="shared" si="4"/>
        <v>0</v>
      </c>
      <c r="S110" s="18">
        <f t="shared" si="5"/>
        <v>7615.5</v>
      </c>
    </row>
    <row r="111" spans="1:19" x14ac:dyDescent="0.25">
      <c r="A111" s="36" t="s">
        <v>237</v>
      </c>
      <c r="B111" s="4" t="s">
        <v>238</v>
      </c>
      <c r="C111" s="5">
        <v>60</v>
      </c>
      <c r="D111" s="6" t="s">
        <v>239</v>
      </c>
      <c r="E111" s="6" t="s">
        <v>19</v>
      </c>
      <c r="F111" s="37">
        <v>41693</v>
      </c>
      <c r="G111" s="25">
        <f>2014.27+71.07+266+33.98+153.64+26.11+141.87+144.4</f>
        <v>2851.34</v>
      </c>
      <c r="H111" s="18"/>
      <c r="I111" s="137">
        <f>1500+750</f>
        <v>2250</v>
      </c>
      <c r="J111" s="18"/>
      <c r="K111" s="8"/>
      <c r="L111" s="18"/>
      <c r="M111" s="18"/>
      <c r="N111" s="18"/>
      <c r="O111" s="18"/>
      <c r="P111" s="18"/>
      <c r="Q111" s="18">
        <f t="shared" si="3"/>
        <v>5101.34</v>
      </c>
      <c r="R111" s="18">
        <f t="shared" si="4"/>
        <v>0</v>
      </c>
      <c r="S111" s="18">
        <f t="shared" si="5"/>
        <v>5101.34</v>
      </c>
    </row>
    <row r="112" spans="1:19" x14ac:dyDescent="0.25">
      <c r="A112" s="36" t="s">
        <v>240</v>
      </c>
      <c r="B112" s="4" t="s">
        <v>241</v>
      </c>
      <c r="C112" s="5">
        <v>61</v>
      </c>
      <c r="D112" s="6" t="s">
        <v>242</v>
      </c>
      <c r="E112" s="6" t="s">
        <v>19</v>
      </c>
      <c r="F112" s="37">
        <v>41694</v>
      </c>
      <c r="G112" s="25">
        <f>75.76</f>
        <v>75.760000000000005</v>
      </c>
      <c r="H112" s="18"/>
      <c r="I112" s="136"/>
      <c r="J112" s="18"/>
      <c r="K112" s="8"/>
      <c r="L112" s="18"/>
      <c r="M112" s="18"/>
      <c r="N112" s="18"/>
      <c r="O112" s="18"/>
      <c r="P112" s="18"/>
      <c r="Q112" s="18">
        <f t="shared" si="3"/>
        <v>75.760000000000005</v>
      </c>
      <c r="R112" s="18">
        <f t="shared" si="4"/>
        <v>0</v>
      </c>
      <c r="S112" s="18">
        <f t="shared" si="5"/>
        <v>75.760000000000005</v>
      </c>
    </row>
    <row r="113" spans="1:19" x14ac:dyDescent="0.25">
      <c r="A113" s="36" t="s">
        <v>243</v>
      </c>
      <c r="B113" s="4" t="s">
        <v>244</v>
      </c>
      <c r="C113" s="5">
        <v>62</v>
      </c>
      <c r="D113" s="6" t="s">
        <v>245</v>
      </c>
      <c r="E113" s="6" t="s">
        <v>19</v>
      </c>
      <c r="F113" s="37">
        <v>41695</v>
      </c>
      <c r="G113" s="25">
        <f>128.36</f>
        <v>128.36000000000001</v>
      </c>
      <c r="H113" s="18"/>
      <c r="I113" s="136"/>
      <c r="J113" s="18"/>
      <c r="K113" s="8"/>
      <c r="L113" s="18"/>
      <c r="M113" s="18"/>
      <c r="N113" s="18"/>
      <c r="O113" s="18"/>
      <c r="P113" s="18"/>
      <c r="Q113" s="18">
        <f t="shared" si="3"/>
        <v>128.36000000000001</v>
      </c>
      <c r="R113" s="18">
        <f t="shared" si="4"/>
        <v>0</v>
      </c>
      <c r="S113" s="18">
        <f t="shared" si="5"/>
        <v>128.36000000000001</v>
      </c>
    </row>
    <row r="114" spans="1:19" x14ac:dyDescent="0.25">
      <c r="A114" s="36" t="s">
        <v>243</v>
      </c>
      <c r="B114" s="4" t="s">
        <v>244</v>
      </c>
      <c r="C114" s="5">
        <v>62</v>
      </c>
      <c r="D114" s="6" t="s">
        <v>246</v>
      </c>
      <c r="E114" s="6" t="s">
        <v>19</v>
      </c>
      <c r="F114" s="37">
        <v>41695</v>
      </c>
      <c r="G114" s="25">
        <f>113.28</f>
        <v>113.28</v>
      </c>
      <c r="H114" s="18"/>
      <c r="I114" s="136"/>
      <c r="J114" s="18"/>
      <c r="K114" s="8"/>
      <c r="L114" s="18"/>
      <c r="M114" s="18"/>
      <c r="N114" s="18"/>
      <c r="O114" s="18"/>
      <c r="P114" s="18"/>
      <c r="Q114" s="18">
        <f t="shared" si="3"/>
        <v>113.28</v>
      </c>
      <c r="R114" s="18">
        <f t="shared" si="4"/>
        <v>0</v>
      </c>
      <c r="S114" s="18">
        <f t="shared" si="5"/>
        <v>113.28</v>
      </c>
    </row>
    <row r="115" spans="1:19" x14ac:dyDescent="0.25">
      <c r="A115" s="36" t="s">
        <v>243</v>
      </c>
      <c r="B115" s="4" t="s">
        <v>244</v>
      </c>
      <c r="C115" s="5">
        <v>62</v>
      </c>
      <c r="D115" s="6" t="s">
        <v>247</v>
      </c>
      <c r="E115" s="6" t="s">
        <v>19</v>
      </c>
      <c r="F115" s="37">
        <v>41695</v>
      </c>
      <c r="G115" s="25">
        <f>82.6</f>
        <v>82.6</v>
      </c>
      <c r="H115" s="18"/>
      <c r="I115" s="136"/>
      <c r="J115" s="18"/>
      <c r="K115" s="8"/>
      <c r="L115" s="18"/>
      <c r="M115" s="18"/>
      <c r="N115" s="18"/>
      <c r="O115" s="18"/>
      <c r="P115" s="18"/>
      <c r="Q115" s="18">
        <f t="shared" si="3"/>
        <v>82.6</v>
      </c>
      <c r="R115" s="18">
        <f t="shared" si="4"/>
        <v>0</v>
      </c>
      <c r="S115" s="18">
        <f t="shared" si="5"/>
        <v>82.6</v>
      </c>
    </row>
    <row r="116" spans="1:19" x14ac:dyDescent="0.25">
      <c r="A116" s="36" t="s">
        <v>248</v>
      </c>
      <c r="B116" s="4" t="s">
        <v>249</v>
      </c>
      <c r="C116" s="5">
        <v>63</v>
      </c>
      <c r="D116" s="6" t="s">
        <v>250</v>
      </c>
      <c r="E116" s="6" t="s">
        <v>19</v>
      </c>
      <c r="F116" s="37">
        <v>41695</v>
      </c>
      <c r="G116" s="25">
        <f>112.4</f>
        <v>112.4</v>
      </c>
      <c r="H116" s="18"/>
      <c r="I116" s="136"/>
      <c r="J116" s="18"/>
      <c r="K116" s="8"/>
      <c r="L116" s="18"/>
      <c r="M116" s="18"/>
      <c r="N116" s="18"/>
      <c r="O116" s="18"/>
      <c r="P116" s="18"/>
      <c r="Q116" s="18">
        <f t="shared" si="3"/>
        <v>112.4</v>
      </c>
      <c r="R116" s="18">
        <f t="shared" si="4"/>
        <v>0</v>
      </c>
      <c r="S116" s="18">
        <f t="shared" si="5"/>
        <v>112.4</v>
      </c>
    </row>
    <row r="117" spans="1:19" x14ac:dyDescent="0.25">
      <c r="A117" s="36" t="s">
        <v>251</v>
      </c>
      <c r="B117" s="4" t="s">
        <v>252</v>
      </c>
      <c r="C117" s="5">
        <v>64</v>
      </c>
      <c r="D117" s="6" t="s">
        <v>253</v>
      </c>
      <c r="E117" s="6" t="s">
        <v>19</v>
      </c>
      <c r="F117" s="37">
        <v>41663</v>
      </c>
      <c r="G117" s="25">
        <f>2245.84+343.85+41.3+218.13+301.7+41.3</f>
        <v>3192.1200000000003</v>
      </c>
      <c r="H117" s="18"/>
      <c r="I117" s="136">
        <v>2500</v>
      </c>
      <c r="J117" s="18"/>
      <c r="K117" s="8"/>
      <c r="L117" s="18"/>
      <c r="M117" s="18"/>
      <c r="N117" s="18"/>
      <c r="O117" s="18"/>
      <c r="P117" s="18"/>
      <c r="Q117" s="18">
        <f t="shared" si="3"/>
        <v>5692.1200000000008</v>
      </c>
      <c r="R117" s="18">
        <f t="shared" si="4"/>
        <v>0</v>
      </c>
      <c r="S117" s="18">
        <f t="shared" si="5"/>
        <v>5692.1200000000008</v>
      </c>
    </row>
    <row r="118" spans="1:19" x14ac:dyDescent="0.25">
      <c r="A118" s="36" t="s">
        <v>254</v>
      </c>
      <c r="B118" s="4" t="s">
        <v>255</v>
      </c>
      <c r="C118" s="5">
        <v>65</v>
      </c>
      <c r="D118" s="6" t="s">
        <v>256</v>
      </c>
      <c r="E118" s="6" t="s">
        <v>19</v>
      </c>
      <c r="F118" s="37">
        <v>41692</v>
      </c>
      <c r="G118" s="25">
        <f>75.83+1805.02</f>
        <v>1880.85</v>
      </c>
      <c r="H118" s="18"/>
      <c r="I118" s="136"/>
      <c r="J118" s="18"/>
      <c r="K118" s="8"/>
      <c r="L118" s="18"/>
      <c r="M118" s="18"/>
      <c r="N118" s="18"/>
      <c r="O118" s="18"/>
      <c r="P118" s="18"/>
      <c r="Q118" s="18">
        <f t="shared" si="3"/>
        <v>1880.85</v>
      </c>
      <c r="R118" s="18">
        <f t="shared" si="4"/>
        <v>0</v>
      </c>
      <c r="S118" s="18">
        <f t="shared" si="5"/>
        <v>1880.85</v>
      </c>
    </row>
    <row r="119" spans="1:19" x14ac:dyDescent="0.25">
      <c r="A119" s="36" t="s">
        <v>254</v>
      </c>
      <c r="B119" s="4" t="s">
        <v>255</v>
      </c>
      <c r="C119" s="5">
        <v>65</v>
      </c>
      <c r="D119" s="6" t="s">
        <v>257</v>
      </c>
      <c r="E119" s="6" t="s">
        <v>19</v>
      </c>
      <c r="F119" s="37">
        <v>41692</v>
      </c>
      <c r="G119" s="25">
        <v>199.72</v>
      </c>
      <c r="H119" s="18"/>
      <c r="I119" s="136"/>
      <c r="J119" s="18"/>
      <c r="K119" s="8"/>
      <c r="L119" s="18"/>
      <c r="M119" s="18"/>
      <c r="N119" s="18"/>
      <c r="O119" s="18"/>
      <c r="P119" s="18"/>
      <c r="Q119" s="18">
        <f t="shared" si="3"/>
        <v>199.72</v>
      </c>
      <c r="R119" s="18">
        <f t="shared" si="4"/>
        <v>0</v>
      </c>
      <c r="S119" s="18">
        <f t="shared" si="5"/>
        <v>199.72</v>
      </c>
    </row>
    <row r="120" spans="1:19" x14ac:dyDescent="0.25">
      <c r="A120" s="36" t="s">
        <v>258</v>
      </c>
      <c r="B120" s="4" t="s">
        <v>259</v>
      </c>
      <c r="C120" s="5">
        <v>66</v>
      </c>
      <c r="D120" s="6" t="s">
        <v>260</v>
      </c>
      <c r="E120" s="6" t="s">
        <v>19</v>
      </c>
      <c r="F120" s="37">
        <v>41655</v>
      </c>
      <c r="G120" s="25">
        <v>203.52</v>
      </c>
      <c r="H120" s="18"/>
      <c r="I120" s="136"/>
      <c r="J120" s="18"/>
      <c r="K120" s="8"/>
      <c r="L120" s="18"/>
      <c r="M120" s="18"/>
      <c r="N120" s="18"/>
      <c r="O120" s="18"/>
      <c r="P120" s="18"/>
      <c r="Q120" s="18">
        <f t="shared" si="3"/>
        <v>203.52</v>
      </c>
      <c r="R120" s="18">
        <f t="shared" si="4"/>
        <v>0</v>
      </c>
      <c r="S120" s="18">
        <f t="shared" si="5"/>
        <v>203.52</v>
      </c>
    </row>
    <row r="121" spans="1:19" x14ac:dyDescent="0.25">
      <c r="A121" s="36" t="s">
        <v>261</v>
      </c>
      <c r="B121" s="4" t="s">
        <v>262</v>
      </c>
      <c r="C121" s="5">
        <v>67</v>
      </c>
      <c r="D121" s="6" t="s">
        <v>263</v>
      </c>
      <c r="E121" s="6" t="s">
        <v>19</v>
      </c>
      <c r="F121" s="37">
        <v>41662</v>
      </c>
      <c r="G121" s="25">
        <v>73.849999999999994</v>
      </c>
      <c r="H121" s="18"/>
      <c r="I121" s="136"/>
      <c r="J121" s="18"/>
      <c r="K121" s="8"/>
      <c r="L121" s="18"/>
      <c r="M121" s="18"/>
      <c r="N121" s="18"/>
      <c r="O121" s="18"/>
      <c r="P121" s="18"/>
      <c r="Q121" s="18">
        <f t="shared" si="3"/>
        <v>73.849999999999994</v>
      </c>
      <c r="R121" s="18">
        <f t="shared" si="4"/>
        <v>0</v>
      </c>
      <c r="S121" s="18">
        <f t="shared" si="5"/>
        <v>73.849999999999994</v>
      </c>
    </row>
    <row r="122" spans="1:19" x14ac:dyDescent="0.25">
      <c r="A122" s="36" t="s">
        <v>264</v>
      </c>
      <c r="B122" s="4" t="s">
        <v>265</v>
      </c>
      <c r="C122" s="5">
        <v>68</v>
      </c>
      <c r="D122" s="6" t="s">
        <v>266</v>
      </c>
      <c r="E122" s="6" t="s">
        <v>73</v>
      </c>
      <c r="F122" s="37">
        <v>41700</v>
      </c>
      <c r="G122" s="25">
        <f>86+4.8</f>
        <v>90.8</v>
      </c>
      <c r="H122" s="18"/>
      <c r="I122" s="136"/>
      <c r="J122" s="18"/>
      <c r="K122" s="8"/>
      <c r="L122" s="18"/>
      <c r="M122" s="18"/>
      <c r="N122" s="18"/>
      <c r="O122" s="18"/>
      <c r="P122" s="18"/>
      <c r="Q122" s="18">
        <f t="shared" si="3"/>
        <v>90.8</v>
      </c>
      <c r="R122" s="18">
        <f t="shared" si="4"/>
        <v>0</v>
      </c>
      <c r="S122" s="18">
        <f t="shared" si="5"/>
        <v>90.8</v>
      </c>
    </row>
    <row r="123" spans="1:19" x14ac:dyDescent="0.25">
      <c r="A123" s="36" t="s">
        <v>264</v>
      </c>
      <c r="B123" s="4" t="s">
        <v>265</v>
      </c>
      <c r="C123" s="5">
        <v>68</v>
      </c>
      <c r="D123" s="6" t="s">
        <v>267</v>
      </c>
      <c r="E123" s="6" t="s">
        <v>73</v>
      </c>
      <c r="F123" s="37">
        <v>41700</v>
      </c>
      <c r="G123" s="25">
        <f>61+4.8</f>
        <v>65.8</v>
      </c>
      <c r="H123" s="18"/>
      <c r="I123" s="136"/>
      <c r="J123" s="18"/>
      <c r="K123" s="8"/>
      <c r="L123" s="18"/>
      <c r="M123" s="18"/>
      <c r="N123" s="18"/>
      <c r="O123" s="18"/>
      <c r="P123" s="18"/>
      <c r="Q123" s="18">
        <f t="shared" si="3"/>
        <v>65.8</v>
      </c>
      <c r="R123" s="18">
        <f t="shared" si="4"/>
        <v>0</v>
      </c>
      <c r="S123" s="18">
        <f t="shared" si="5"/>
        <v>65.8</v>
      </c>
    </row>
    <row r="124" spans="1:19" x14ac:dyDescent="0.25">
      <c r="A124" s="36" t="s">
        <v>268</v>
      </c>
      <c r="B124" s="4" t="s">
        <v>269</v>
      </c>
      <c r="C124" s="5">
        <v>69</v>
      </c>
      <c r="D124" s="6" t="s">
        <v>270</v>
      </c>
      <c r="E124" s="6" t="s">
        <v>19</v>
      </c>
      <c r="F124" s="37">
        <v>41702</v>
      </c>
      <c r="G124" s="25">
        <v>180.5</v>
      </c>
      <c r="H124" s="18"/>
      <c r="I124" s="137">
        <v>50</v>
      </c>
      <c r="J124" s="18"/>
      <c r="K124" s="8"/>
      <c r="L124" s="18"/>
      <c r="M124" s="18"/>
      <c r="N124" s="18"/>
      <c r="O124" s="18"/>
      <c r="P124" s="18"/>
      <c r="Q124" s="18">
        <f t="shared" si="3"/>
        <v>230.5</v>
      </c>
      <c r="R124" s="18">
        <f t="shared" si="4"/>
        <v>0</v>
      </c>
      <c r="S124" s="18">
        <f t="shared" si="5"/>
        <v>230.5</v>
      </c>
    </row>
    <row r="125" spans="1:19" x14ac:dyDescent="0.25">
      <c r="A125" s="36" t="s">
        <v>271</v>
      </c>
      <c r="B125" s="4" t="s">
        <v>272</v>
      </c>
      <c r="C125" s="5">
        <v>70</v>
      </c>
      <c r="D125" s="6" t="s">
        <v>273</v>
      </c>
      <c r="E125" s="6" t="s">
        <v>19</v>
      </c>
      <c r="F125" s="37">
        <v>41699</v>
      </c>
      <c r="G125" s="25">
        <f>180.01</f>
        <v>180.01</v>
      </c>
      <c r="H125" s="18"/>
      <c r="I125" s="136"/>
      <c r="J125" s="18"/>
      <c r="K125" s="8"/>
      <c r="L125" s="18"/>
      <c r="M125" s="18"/>
      <c r="N125" s="18"/>
      <c r="O125" s="18"/>
      <c r="P125" s="18"/>
      <c r="Q125" s="18">
        <f t="shared" si="3"/>
        <v>180.01</v>
      </c>
      <c r="R125" s="18">
        <f t="shared" si="4"/>
        <v>0</v>
      </c>
      <c r="S125" s="18">
        <f t="shared" si="5"/>
        <v>180.01</v>
      </c>
    </row>
    <row r="126" spans="1:19" x14ac:dyDescent="0.25">
      <c r="A126" s="36" t="s">
        <v>274</v>
      </c>
      <c r="B126" s="4" t="s">
        <v>275</v>
      </c>
      <c r="C126" s="5">
        <v>71</v>
      </c>
      <c r="D126" s="6" t="s">
        <v>276</v>
      </c>
      <c r="E126" s="6" t="s">
        <v>19</v>
      </c>
      <c r="F126" s="37">
        <v>41700</v>
      </c>
      <c r="G126" s="25">
        <f>82.6</f>
        <v>82.6</v>
      </c>
      <c r="H126" s="18"/>
      <c r="I126" s="136"/>
      <c r="J126" s="18"/>
      <c r="K126" s="8"/>
      <c r="L126" s="18"/>
      <c r="M126" s="18"/>
      <c r="N126" s="18"/>
      <c r="O126" s="18"/>
      <c r="P126" s="18"/>
      <c r="Q126" s="18">
        <f t="shared" si="3"/>
        <v>82.6</v>
      </c>
      <c r="R126" s="18">
        <f t="shared" si="4"/>
        <v>0</v>
      </c>
      <c r="S126" s="18">
        <f t="shared" si="5"/>
        <v>82.6</v>
      </c>
    </row>
    <row r="127" spans="1:19" x14ac:dyDescent="0.25">
      <c r="A127" s="36" t="s">
        <v>277</v>
      </c>
      <c r="B127" s="4" t="s">
        <v>278</v>
      </c>
      <c r="C127" s="5">
        <v>72</v>
      </c>
      <c r="D127" s="6" t="s">
        <v>279</v>
      </c>
      <c r="E127" s="6" t="s">
        <v>19</v>
      </c>
      <c r="F127" s="37">
        <v>41702</v>
      </c>
      <c r="G127" s="25">
        <f>156.76</f>
        <v>156.76</v>
      </c>
      <c r="H127" s="18"/>
      <c r="I127" s="136"/>
      <c r="J127" s="18"/>
      <c r="K127" s="8"/>
      <c r="L127" s="18"/>
      <c r="M127" s="18"/>
      <c r="N127" s="18"/>
      <c r="O127" s="18"/>
      <c r="P127" s="18"/>
      <c r="Q127" s="18">
        <f t="shared" si="3"/>
        <v>156.76</v>
      </c>
      <c r="R127" s="18">
        <f t="shared" si="4"/>
        <v>0</v>
      </c>
      <c r="S127" s="18">
        <f t="shared" si="5"/>
        <v>156.76</v>
      </c>
    </row>
    <row r="128" spans="1:19" x14ac:dyDescent="0.25">
      <c r="A128" s="36" t="s">
        <v>280</v>
      </c>
      <c r="B128" s="4" t="s">
        <v>281</v>
      </c>
      <c r="C128" s="5">
        <v>73</v>
      </c>
      <c r="D128" s="6" t="s">
        <v>282</v>
      </c>
      <c r="E128" s="6" t="s">
        <v>19</v>
      </c>
      <c r="F128" s="37">
        <v>41697</v>
      </c>
      <c r="G128" s="25">
        <v>176.3</v>
      </c>
      <c r="H128" s="18"/>
      <c r="I128" s="136"/>
      <c r="J128" s="18"/>
      <c r="K128" s="8"/>
      <c r="L128" s="18"/>
      <c r="M128" s="18"/>
      <c r="N128" s="18"/>
      <c r="O128" s="18"/>
      <c r="P128" s="18"/>
      <c r="Q128" s="18">
        <f t="shared" si="3"/>
        <v>176.3</v>
      </c>
      <c r="R128" s="18">
        <f t="shared" si="4"/>
        <v>0</v>
      </c>
      <c r="S128" s="18">
        <f t="shared" si="5"/>
        <v>176.3</v>
      </c>
    </row>
    <row r="129" spans="1:19" x14ac:dyDescent="0.25">
      <c r="A129" s="36" t="s">
        <v>283</v>
      </c>
      <c r="B129" s="4" t="s">
        <v>284</v>
      </c>
      <c r="C129" s="5">
        <v>74</v>
      </c>
      <c r="D129" s="6" t="s">
        <v>285</v>
      </c>
      <c r="E129" s="6" t="s">
        <v>19</v>
      </c>
      <c r="F129" s="37">
        <v>41695</v>
      </c>
      <c r="G129" s="25">
        <f>63.1+298.6</f>
        <v>361.70000000000005</v>
      </c>
      <c r="H129" s="18"/>
      <c r="I129" s="137">
        <v>125</v>
      </c>
      <c r="J129" s="18"/>
      <c r="K129" s="8"/>
      <c r="L129" s="18"/>
      <c r="M129" s="18"/>
      <c r="N129" s="18"/>
      <c r="O129" s="18"/>
      <c r="P129" s="18"/>
      <c r="Q129" s="18">
        <f t="shared" si="3"/>
        <v>486.70000000000005</v>
      </c>
      <c r="R129" s="18">
        <f t="shared" si="4"/>
        <v>0</v>
      </c>
      <c r="S129" s="18">
        <f t="shared" si="5"/>
        <v>486.70000000000005</v>
      </c>
    </row>
    <row r="130" spans="1:19" x14ac:dyDescent="0.25">
      <c r="A130" s="36" t="s">
        <v>286</v>
      </c>
      <c r="B130" s="4" t="s">
        <v>287</v>
      </c>
      <c r="C130" s="5">
        <v>75</v>
      </c>
      <c r="D130" s="6" t="s">
        <v>288</v>
      </c>
      <c r="E130" s="6" t="s">
        <v>19</v>
      </c>
      <c r="F130" s="37">
        <v>41660</v>
      </c>
      <c r="G130" s="25">
        <f>47.67</f>
        <v>47.67</v>
      </c>
      <c r="H130" s="18"/>
      <c r="I130" s="136"/>
      <c r="J130" s="18"/>
      <c r="K130" s="8"/>
      <c r="L130" s="18"/>
      <c r="M130" s="18"/>
      <c r="N130" s="18"/>
      <c r="O130" s="18"/>
      <c r="P130" s="18"/>
      <c r="Q130" s="18">
        <f t="shared" si="3"/>
        <v>47.67</v>
      </c>
      <c r="R130" s="18">
        <f t="shared" si="4"/>
        <v>0</v>
      </c>
      <c r="S130" s="18">
        <f t="shared" si="5"/>
        <v>47.67</v>
      </c>
    </row>
    <row r="131" spans="1:19" x14ac:dyDescent="0.25">
      <c r="A131" s="36" t="s">
        <v>286</v>
      </c>
      <c r="B131" s="4" t="s">
        <v>287</v>
      </c>
      <c r="C131" s="5">
        <v>75</v>
      </c>
      <c r="D131" s="6" t="s">
        <v>289</v>
      </c>
      <c r="E131" s="6" t="s">
        <v>19</v>
      </c>
      <c r="F131" s="37">
        <v>41660</v>
      </c>
      <c r="G131" s="25">
        <f>84.08</f>
        <v>84.08</v>
      </c>
      <c r="H131" s="18"/>
      <c r="I131" s="136"/>
      <c r="J131" s="18"/>
      <c r="K131" s="8"/>
      <c r="L131" s="18"/>
      <c r="M131" s="18"/>
      <c r="N131" s="18"/>
      <c r="O131" s="18"/>
      <c r="P131" s="18"/>
      <c r="Q131" s="18">
        <f t="shared" si="3"/>
        <v>84.08</v>
      </c>
      <c r="R131" s="18">
        <f t="shared" si="4"/>
        <v>0</v>
      </c>
      <c r="S131" s="18">
        <f t="shared" si="5"/>
        <v>84.08</v>
      </c>
    </row>
    <row r="132" spans="1:19" x14ac:dyDescent="0.25">
      <c r="A132" s="36" t="s">
        <v>286</v>
      </c>
      <c r="B132" s="4" t="s">
        <v>287</v>
      </c>
      <c r="C132" s="5">
        <v>75</v>
      </c>
      <c r="D132" s="6" t="s">
        <v>290</v>
      </c>
      <c r="E132" s="6" t="s">
        <v>19</v>
      </c>
      <c r="F132" s="37">
        <v>41660</v>
      </c>
      <c r="G132" s="25">
        <f>85.79</f>
        <v>85.79</v>
      </c>
      <c r="H132" s="18"/>
      <c r="I132" s="136"/>
      <c r="J132" s="18"/>
      <c r="K132" s="8"/>
      <c r="L132" s="18"/>
      <c r="M132" s="18"/>
      <c r="N132" s="18"/>
      <c r="O132" s="18"/>
      <c r="P132" s="18"/>
      <c r="Q132" s="18">
        <f t="shared" si="3"/>
        <v>85.79</v>
      </c>
      <c r="R132" s="18">
        <f t="shared" si="4"/>
        <v>0</v>
      </c>
      <c r="S132" s="18">
        <f t="shared" si="5"/>
        <v>85.79</v>
      </c>
    </row>
    <row r="133" spans="1:19" x14ac:dyDescent="0.25">
      <c r="A133" s="36" t="s">
        <v>286</v>
      </c>
      <c r="B133" s="4" t="s">
        <v>287</v>
      </c>
      <c r="C133" s="5">
        <v>75</v>
      </c>
      <c r="D133" s="6" t="s">
        <v>291</v>
      </c>
      <c r="E133" s="6" t="s">
        <v>19</v>
      </c>
      <c r="F133" s="37">
        <v>41660</v>
      </c>
      <c r="G133" s="25">
        <f>85.43</f>
        <v>85.43</v>
      </c>
      <c r="H133" s="18"/>
      <c r="I133" s="136"/>
      <c r="J133" s="18"/>
      <c r="K133" s="8"/>
      <c r="L133" s="18"/>
      <c r="M133" s="18"/>
      <c r="N133" s="18"/>
      <c r="O133" s="18"/>
      <c r="P133" s="18"/>
      <c r="Q133" s="18">
        <f t="shared" si="3"/>
        <v>85.43</v>
      </c>
      <c r="R133" s="18">
        <f t="shared" si="4"/>
        <v>0</v>
      </c>
      <c r="S133" s="18">
        <f t="shared" si="5"/>
        <v>85.43</v>
      </c>
    </row>
    <row r="134" spans="1:19" x14ac:dyDescent="0.25">
      <c r="A134" s="36" t="s">
        <v>205</v>
      </c>
      <c r="B134" s="4" t="s">
        <v>206</v>
      </c>
      <c r="C134" s="5">
        <v>76</v>
      </c>
      <c r="D134" s="6" t="s">
        <v>292</v>
      </c>
      <c r="E134" s="6" t="s">
        <v>19</v>
      </c>
      <c r="F134" s="37">
        <v>41706</v>
      </c>
      <c r="G134" s="25">
        <f>94+558+109.37+70</f>
        <v>831.37</v>
      </c>
      <c r="H134" s="18"/>
      <c r="I134" s="137">
        <v>250</v>
      </c>
      <c r="J134" s="18"/>
      <c r="K134" s="8"/>
      <c r="L134" s="18"/>
      <c r="M134" s="18"/>
      <c r="N134" s="18"/>
      <c r="O134" s="18"/>
      <c r="P134" s="18"/>
      <c r="Q134" s="18">
        <f t="shared" si="3"/>
        <v>1081.3699999999999</v>
      </c>
      <c r="R134" s="18">
        <f t="shared" si="4"/>
        <v>0</v>
      </c>
      <c r="S134" s="18">
        <f t="shared" si="5"/>
        <v>1081.3699999999999</v>
      </c>
    </row>
    <row r="135" spans="1:19" x14ac:dyDescent="0.25">
      <c r="A135" s="36" t="s">
        <v>205</v>
      </c>
      <c r="B135" s="4" t="s">
        <v>206</v>
      </c>
      <c r="C135" s="5">
        <v>76</v>
      </c>
      <c r="D135" s="6" t="s">
        <v>293</v>
      </c>
      <c r="E135" s="6" t="s">
        <v>19</v>
      </c>
      <c r="F135" s="37">
        <v>41706</v>
      </c>
      <c r="G135" s="25">
        <v>41.4</v>
      </c>
      <c r="H135" s="18"/>
      <c r="I135" s="136"/>
      <c r="J135" s="18"/>
      <c r="K135" s="8"/>
      <c r="L135" s="18"/>
      <c r="M135" s="18"/>
      <c r="N135" s="18"/>
      <c r="O135" s="18"/>
      <c r="P135" s="18"/>
      <c r="Q135" s="18">
        <f t="shared" si="3"/>
        <v>41.4</v>
      </c>
      <c r="R135" s="18">
        <f t="shared" si="4"/>
        <v>0</v>
      </c>
      <c r="S135" s="18">
        <f t="shared" si="5"/>
        <v>41.4</v>
      </c>
    </row>
    <row r="136" spans="1:19" x14ac:dyDescent="0.25">
      <c r="A136" s="36" t="s">
        <v>205</v>
      </c>
      <c r="B136" s="4" t="s">
        <v>206</v>
      </c>
      <c r="C136" s="5">
        <v>76</v>
      </c>
      <c r="D136" s="6" t="s">
        <v>294</v>
      </c>
      <c r="E136" s="6" t="s">
        <v>19</v>
      </c>
      <c r="F136" s="37">
        <v>41706</v>
      </c>
      <c r="G136" s="25">
        <v>40.5</v>
      </c>
      <c r="H136" s="18"/>
      <c r="I136" s="136"/>
      <c r="J136" s="18"/>
      <c r="K136" s="8"/>
      <c r="L136" s="18"/>
      <c r="M136" s="18"/>
      <c r="N136" s="18"/>
      <c r="O136" s="18"/>
      <c r="P136" s="18"/>
      <c r="Q136" s="18">
        <f t="shared" si="3"/>
        <v>40.5</v>
      </c>
      <c r="R136" s="18">
        <f t="shared" si="4"/>
        <v>0</v>
      </c>
      <c r="S136" s="18">
        <f t="shared" si="5"/>
        <v>40.5</v>
      </c>
    </row>
    <row r="137" spans="1:19" x14ac:dyDescent="0.25">
      <c r="A137" s="36" t="s">
        <v>295</v>
      </c>
      <c r="B137" s="4" t="s">
        <v>296</v>
      </c>
      <c r="C137" s="5">
        <v>77</v>
      </c>
      <c r="D137" s="6" t="s">
        <v>297</v>
      </c>
      <c r="E137" s="6" t="s">
        <v>19</v>
      </c>
      <c r="F137" s="37">
        <v>41708</v>
      </c>
      <c r="G137" s="25">
        <f>47.2+147.75</f>
        <v>194.95</v>
      </c>
      <c r="H137" s="18"/>
      <c r="I137" s="136"/>
      <c r="J137" s="18"/>
      <c r="K137" s="8"/>
      <c r="L137" s="18"/>
      <c r="M137" s="18"/>
      <c r="N137" s="18"/>
      <c r="O137" s="18"/>
      <c r="P137" s="18"/>
      <c r="Q137" s="18">
        <f t="shared" ref="Q137:Q201" si="6">+G137+I137+K137+M137+O137</f>
        <v>194.95</v>
      </c>
      <c r="R137" s="18">
        <f t="shared" ref="R137:R201" si="7">+H137+J137+L137+N137+P137</f>
        <v>0</v>
      </c>
      <c r="S137" s="18">
        <f t="shared" ref="S137:S201" si="8">+Q137+R137</f>
        <v>194.95</v>
      </c>
    </row>
    <row r="138" spans="1:19" x14ac:dyDescent="0.25">
      <c r="A138" s="36" t="s">
        <v>298</v>
      </c>
      <c r="B138" s="4" t="s">
        <v>299</v>
      </c>
      <c r="C138" s="5">
        <v>78</v>
      </c>
      <c r="D138" s="6" t="s">
        <v>300</v>
      </c>
      <c r="E138" s="6" t="s">
        <v>19</v>
      </c>
      <c r="F138" s="37">
        <v>41709</v>
      </c>
      <c r="G138" s="25">
        <f>1.4+118</f>
        <v>119.4</v>
      </c>
      <c r="H138" s="18"/>
      <c r="I138" s="136"/>
      <c r="J138" s="18"/>
      <c r="K138" s="8"/>
      <c r="L138" s="18"/>
      <c r="M138" s="18"/>
      <c r="N138" s="18"/>
      <c r="O138" s="18"/>
      <c r="P138" s="18"/>
      <c r="Q138" s="18">
        <f t="shared" si="6"/>
        <v>119.4</v>
      </c>
      <c r="R138" s="18">
        <f t="shared" si="7"/>
        <v>0</v>
      </c>
      <c r="S138" s="18">
        <f t="shared" si="8"/>
        <v>119.4</v>
      </c>
    </row>
    <row r="139" spans="1:19" x14ac:dyDescent="0.25">
      <c r="A139" s="36" t="s">
        <v>301</v>
      </c>
      <c r="B139" s="4" t="s">
        <v>302</v>
      </c>
      <c r="C139" s="5">
        <v>79</v>
      </c>
      <c r="D139" s="6" t="s">
        <v>303</v>
      </c>
      <c r="E139" s="6" t="s">
        <v>19</v>
      </c>
      <c r="F139" s="37">
        <v>41709</v>
      </c>
      <c r="G139" s="25"/>
      <c r="H139" s="18"/>
      <c r="I139" s="136"/>
      <c r="J139" s="18"/>
      <c r="K139" s="8"/>
      <c r="L139" s="18"/>
      <c r="M139" s="18"/>
      <c r="N139" s="18"/>
      <c r="O139" s="18"/>
      <c r="P139" s="18"/>
      <c r="Q139" s="18">
        <f t="shared" si="6"/>
        <v>0</v>
      </c>
      <c r="R139" s="18">
        <f t="shared" si="7"/>
        <v>0</v>
      </c>
      <c r="S139" s="18">
        <f t="shared" si="8"/>
        <v>0</v>
      </c>
    </row>
    <row r="140" spans="1:19" x14ac:dyDescent="0.25">
      <c r="A140" s="36" t="s">
        <v>304</v>
      </c>
      <c r="B140" s="4" t="s">
        <v>305</v>
      </c>
      <c r="C140" s="5">
        <v>80</v>
      </c>
      <c r="D140" s="6" t="s">
        <v>306</v>
      </c>
      <c r="E140" s="6" t="s">
        <v>19</v>
      </c>
      <c r="F140" s="37">
        <v>41702</v>
      </c>
      <c r="G140" s="25">
        <f>1151.26</f>
        <v>1151.26</v>
      </c>
      <c r="H140" s="18"/>
      <c r="I140" s="136"/>
      <c r="J140" s="18"/>
      <c r="K140" s="8"/>
      <c r="L140" s="18"/>
      <c r="M140" s="18"/>
      <c r="N140" s="18"/>
      <c r="O140" s="18"/>
      <c r="P140" s="18"/>
      <c r="Q140" s="18">
        <f t="shared" si="6"/>
        <v>1151.26</v>
      </c>
      <c r="R140" s="18">
        <f t="shared" si="7"/>
        <v>0</v>
      </c>
      <c r="S140" s="18">
        <f t="shared" si="8"/>
        <v>1151.26</v>
      </c>
    </row>
    <row r="141" spans="1:19" x14ac:dyDescent="0.25">
      <c r="A141" s="36" t="s">
        <v>304</v>
      </c>
      <c r="B141" s="4" t="s">
        <v>305</v>
      </c>
      <c r="C141" s="5">
        <v>80</v>
      </c>
      <c r="D141" s="6" t="s">
        <v>307</v>
      </c>
      <c r="E141" s="6" t="s">
        <v>19</v>
      </c>
      <c r="F141" s="37">
        <v>41702</v>
      </c>
      <c r="G141" s="25">
        <f>212.33</f>
        <v>212.33</v>
      </c>
      <c r="H141" s="18"/>
      <c r="I141" s="136"/>
      <c r="J141" s="18"/>
      <c r="K141" s="8"/>
      <c r="L141" s="18"/>
      <c r="M141" s="18"/>
      <c r="N141" s="18"/>
      <c r="O141" s="18"/>
      <c r="P141" s="18"/>
      <c r="Q141" s="18">
        <f t="shared" si="6"/>
        <v>212.33</v>
      </c>
      <c r="R141" s="18">
        <f t="shared" si="7"/>
        <v>0</v>
      </c>
      <c r="S141" s="18">
        <f t="shared" si="8"/>
        <v>212.33</v>
      </c>
    </row>
    <row r="142" spans="1:19" x14ac:dyDescent="0.25">
      <c r="A142" s="36" t="s">
        <v>308</v>
      </c>
      <c r="B142" s="4" t="s">
        <v>309</v>
      </c>
      <c r="C142" s="5">
        <v>81</v>
      </c>
      <c r="D142" s="6" t="s">
        <v>310</v>
      </c>
      <c r="E142" s="6" t="s">
        <v>311</v>
      </c>
      <c r="F142" s="37">
        <v>41700</v>
      </c>
      <c r="G142" s="25"/>
      <c r="H142" s="18"/>
      <c r="I142" s="136"/>
      <c r="J142" s="18"/>
      <c r="K142" s="8"/>
      <c r="L142" s="18"/>
      <c r="M142" s="18">
        <v>3600</v>
      </c>
      <c r="N142" s="18"/>
      <c r="O142" s="18">
        <v>15200</v>
      </c>
      <c r="P142" s="18"/>
      <c r="Q142" s="18">
        <f t="shared" si="6"/>
        <v>18800</v>
      </c>
      <c r="R142" s="18">
        <f t="shared" si="7"/>
        <v>0</v>
      </c>
      <c r="S142" s="18">
        <f t="shared" si="8"/>
        <v>18800</v>
      </c>
    </row>
    <row r="143" spans="1:19" x14ac:dyDescent="0.25">
      <c r="A143" s="36" t="s">
        <v>312</v>
      </c>
      <c r="B143" s="4" t="s">
        <v>313</v>
      </c>
      <c r="C143" s="5">
        <v>82</v>
      </c>
      <c r="D143" s="6" t="s">
        <v>314</v>
      </c>
      <c r="E143" s="6" t="s">
        <v>19</v>
      </c>
      <c r="F143" s="37">
        <v>41711</v>
      </c>
      <c r="G143" s="25">
        <f>151+239.63+41.3+74.14</f>
        <v>506.07</v>
      </c>
      <c r="H143" s="18"/>
      <c r="I143" s="136"/>
      <c r="J143" s="18"/>
      <c r="K143" s="8"/>
      <c r="L143" s="18"/>
      <c r="M143" s="18"/>
      <c r="N143" s="18"/>
      <c r="O143" s="18"/>
      <c r="P143" s="18"/>
      <c r="Q143" s="18">
        <f t="shared" si="6"/>
        <v>506.07</v>
      </c>
      <c r="R143" s="18">
        <f t="shared" si="7"/>
        <v>0</v>
      </c>
      <c r="S143" s="18">
        <f t="shared" si="8"/>
        <v>506.07</v>
      </c>
    </row>
    <row r="144" spans="1:19" x14ac:dyDescent="0.25">
      <c r="A144" s="36" t="s">
        <v>312</v>
      </c>
      <c r="B144" s="4" t="s">
        <v>313</v>
      </c>
      <c r="C144" s="5">
        <v>82</v>
      </c>
      <c r="D144" s="6" t="s">
        <v>315</v>
      </c>
      <c r="E144" s="6" t="s">
        <v>19</v>
      </c>
      <c r="F144" s="37">
        <v>41711</v>
      </c>
      <c r="G144" s="25">
        <f>103.14+275.58+436+241.9+64.9+64.9+445.98</f>
        <v>1632.4000000000003</v>
      </c>
      <c r="H144" s="18"/>
      <c r="I144" s="136">
        <v>1125</v>
      </c>
      <c r="J144" s="18"/>
      <c r="K144" s="8"/>
      <c r="L144" s="18"/>
      <c r="M144" s="18"/>
      <c r="N144" s="18"/>
      <c r="O144" s="18"/>
      <c r="P144" s="18"/>
      <c r="Q144" s="18">
        <f t="shared" si="6"/>
        <v>2757.4000000000005</v>
      </c>
      <c r="R144" s="18">
        <f t="shared" si="7"/>
        <v>0</v>
      </c>
      <c r="S144" s="18">
        <f t="shared" si="8"/>
        <v>2757.4000000000005</v>
      </c>
    </row>
    <row r="145" spans="1:19" x14ac:dyDescent="0.25">
      <c r="A145" s="36" t="s">
        <v>312</v>
      </c>
      <c r="B145" s="4" t="s">
        <v>313</v>
      </c>
      <c r="C145" s="5">
        <v>82</v>
      </c>
      <c r="D145" s="6" t="s">
        <v>316</v>
      </c>
      <c r="E145" s="6" t="s">
        <v>19</v>
      </c>
      <c r="F145" s="37">
        <v>41711</v>
      </c>
      <c r="G145" s="25">
        <f>134.34</f>
        <v>134.34</v>
      </c>
      <c r="H145" s="18"/>
      <c r="I145" s="136"/>
      <c r="J145" s="18"/>
      <c r="K145" s="8"/>
      <c r="L145" s="18"/>
      <c r="M145" s="18"/>
      <c r="N145" s="18"/>
      <c r="O145" s="18"/>
      <c r="P145" s="18"/>
      <c r="Q145" s="18">
        <f t="shared" si="6"/>
        <v>134.34</v>
      </c>
      <c r="R145" s="18">
        <f t="shared" si="7"/>
        <v>0</v>
      </c>
      <c r="S145" s="18">
        <f t="shared" si="8"/>
        <v>134.34</v>
      </c>
    </row>
    <row r="146" spans="1:19" x14ac:dyDescent="0.25">
      <c r="A146" s="36" t="s">
        <v>312</v>
      </c>
      <c r="B146" s="4" t="s">
        <v>313</v>
      </c>
      <c r="C146" s="5">
        <v>82</v>
      </c>
      <c r="D146" s="6" t="s">
        <v>317</v>
      </c>
      <c r="E146" s="6" t="s">
        <v>19</v>
      </c>
      <c r="F146" s="37">
        <v>41711</v>
      </c>
      <c r="G146" s="25">
        <f>129.03</f>
        <v>129.03</v>
      </c>
      <c r="H146" s="18"/>
      <c r="I146" s="136"/>
      <c r="J146" s="18"/>
      <c r="K146" s="8"/>
      <c r="L146" s="18"/>
      <c r="M146" s="18"/>
      <c r="N146" s="18"/>
      <c r="O146" s="18"/>
      <c r="P146" s="18"/>
      <c r="Q146" s="18">
        <f t="shared" si="6"/>
        <v>129.03</v>
      </c>
      <c r="R146" s="18">
        <f t="shared" si="7"/>
        <v>0</v>
      </c>
      <c r="S146" s="18">
        <f t="shared" si="8"/>
        <v>129.03</v>
      </c>
    </row>
    <row r="147" spans="1:19" x14ac:dyDescent="0.25">
      <c r="A147" s="36" t="s">
        <v>312</v>
      </c>
      <c r="B147" s="4" t="s">
        <v>313</v>
      </c>
      <c r="C147" s="5">
        <v>82</v>
      </c>
      <c r="D147" s="6" t="s">
        <v>318</v>
      </c>
      <c r="E147" s="6" t="s">
        <v>19</v>
      </c>
      <c r="F147" s="37">
        <v>41711</v>
      </c>
      <c r="G147" s="25">
        <f>43.58+47.2+260+64.6+47.2+260+47.2+419.25+19.8+260+47.2+74.87</f>
        <v>1590.9</v>
      </c>
      <c r="H147" s="18"/>
      <c r="I147" s="137">
        <v>1500</v>
      </c>
      <c r="J147" s="18"/>
      <c r="K147" s="8"/>
      <c r="L147" s="18"/>
      <c r="M147" s="18"/>
      <c r="N147" s="18"/>
      <c r="O147" s="18"/>
      <c r="P147" s="18"/>
      <c r="Q147" s="18">
        <f t="shared" si="6"/>
        <v>3090.9</v>
      </c>
      <c r="R147" s="18">
        <f t="shared" si="7"/>
        <v>0</v>
      </c>
      <c r="S147" s="18">
        <f t="shared" si="8"/>
        <v>3090.9</v>
      </c>
    </row>
    <row r="148" spans="1:19" x14ac:dyDescent="0.25">
      <c r="A148" s="36" t="s">
        <v>312</v>
      </c>
      <c r="B148" s="4" t="s">
        <v>313</v>
      </c>
      <c r="C148" s="5">
        <v>82</v>
      </c>
      <c r="D148" s="6" t="s">
        <v>319</v>
      </c>
      <c r="E148" s="6" t="s">
        <v>19</v>
      </c>
      <c r="F148" s="37">
        <v>41711</v>
      </c>
      <c r="G148" s="25">
        <f>34+558+19.08+340.67+320+42+390.4</f>
        <v>1704.15</v>
      </c>
      <c r="H148" s="18"/>
      <c r="I148" s="136">
        <v>850</v>
      </c>
      <c r="J148" s="18"/>
      <c r="K148" s="8"/>
      <c r="L148" s="18"/>
      <c r="M148" s="18"/>
      <c r="N148" s="18"/>
      <c r="O148" s="18"/>
      <c r="P148" s="18"/>
      <c r="Q148" s="18">
        <f t="shared" si="6"/>
        <v>2554.15</v>
      </c>
      <c r="R148" s="18">
        <f t="shared" si="7"/>
        <v>0</v>
      </c>
      <c r="S148" s="18">
        <f t="shared" si="8"/>
        <v>2554.15</v>
      </c>
    </row>
    <row r="149" spans="1:19" x14ac:dyDescent="0.25">
      <c r="A149" s="36" t="s">
        <v>320</v>
      </c>
      <c r="B149" s="4" t="s">
        <v>321</v>
      </c>
      <c r="C149" s="5">
        <v>83</v>
      </c>
      <c r="D149" s="6" t="s">
        <v>322</v>
      </c>
      <c r="E149" s="6" t="s">
        <v>19</v>
      </c>
      <c r="F149" s="37">
        <v>41683</v>
      </c>
      <c r="G149" s="38"/>
      <c r="H149" s="18"/>
      <c r="I149" s="136"/>
      <c r="J149" s="18"/>
      <c r="K149" s="8"/>
      <c r="L149" s="18"/>
      <c r="M149" s="25">
        <v>3800</v>
      </c>
      <c r="N149" s="18"/>
      <c r="O149" s="25">
        <v>15200</v>
      </c>
      <c r="P149" s="18"/>
      <c r="Q149" s="18">
        <f t="shared" si="6"/>
        <v>19000</v>
      </c>
      <c r="R149" s="18">
        <f t="shared" si="7"/>
        <v>0</v>
      </c>
      <c r="S149" s="18">
        <f t="shared" si="8"/>
        <v>19000</v>
      </c>
    </row>
    <row r="150" spans="1:19" x14ac:dyDescent="0.25">
      <c r="A150" s="36" t="s">
        <v>320</v>
      </c>
      <c r="B150" s="4" t="s">
        <v>321</v>
      </c>
      <c r="C150" s="5">
        <v>83</v>
      </c>
      <c r="D150" s="6" t="s">
        <v>323</v>
      </c>
      <c r="E150" s="6" t="s">
        <v>19</v>
      </c>
      <c r="F150" s="37">
        <v>41683</v>
      </c>
      <c r="G150" s="25">
        <v>40</v>
      </c>
      <c r="H150" s="18"/>
      <c r="I150" s="136"/>
      <c r="J150" s="18"/>
      <c r="K150" s="8"/>
      <c r="L150" s="18"/>
      <c r="M150" s="18"/>
      <c r="N150" s="18"/>
      <c r="O150" s="18"/>
      <c r="P150" s="18"/>
      <c r="Q150" s="18">
        <f t="shared" si="6"/>
        <v>40</v>
      </c>
      <c r="R150" s="18">
        <f t="shared" si="7"/>
        <v>0</v>
      </c>
      <c r="S150" s="18">
        <f t="shared" si="8"/>
        <v>40</v>
      </c>
    </row>
    <row r="151" spans="1:19" x14ac:dyDescent="0.25">
      <c r="A151" s="36" t="s">
        <v>324</v>
      </c>
      <c r="B151" s="4" t="s">
        <v>325</v>
      </c>
      <c r="C151" s="5">
        <v>84</v>
      </c>
      <c r="D151" s="6" t="s">
        <v>326</v>
      </c>
      <c r="E151" s="6" t="s">
        <v>19</v>
      </c>
      <c r="F151" s="37">
        <v>41715</v>
      </c>
      <c r="G151" s="25">
        <f>238+47.7+94.4+436.6+64.9+795.85+24.03+90+41.3</f>
        <v>1832.78</v>
      </c>
      <c r="H151" s="18"/>
      <c r="I151" s="136"/>
      <c r="J151" s="18"/>
      <c r="K151" s="8"/>
      <c r="L151" s="18"/>
      <c r="M151" s="18"/>
      <c r="N151" s="18"/>
      <c r="O151" s="18"/>
      <c r="P151" s="18"/>
      <c r="Q151" s="18">
        <f t="shared" si="6"/>
        <v>1832.78</v>
      </c>
      <c r="R151" s="18">
        <f t="shared" si="7"/>
        <v>0</v>
      </c>
      <c r="S151" s="18">
        <f t="shared" si="8"/>
        <v>1832.78</v>
      </c>
    </row>
    <row r="152" spans="1:19" x14ac:dyDescent="0.25">
      <c r="A152" s="36" t="s">
        <v>327</v>
      </c>
      <c r="B152" s="4" t="s">
        <v>328</v>
      </c>
      <c r="C152" s="5">
        <v>85</v>
      </c>
      <c r="D152" s="6" t="s">
        <v>329</v>
      </c>
      <c r="E152" s="6" t="s">
        <v>19</v>
      </c>
      <c r="F152" s="37">
        <v>41710</v>
      </c>
      <c r="G152" s="25">
        <v>115.6</v>
      </c>
      <c r="H152" s="18"/>
      <c r="I152" s="136"/>
      <c r="J152" s="18"/>
      <c r="K152" s="8"/>
      <c r="L152" s="18"/>
      <c r="M152" s="18"/>
      <c r="N152" s="18"/>
      <c r="O152" s="18"/>
      <c r="P152" s="18"/>
      <c r="Q152" s="18">
        <f t="shared" si="6"/>
        <v>115.6</v>
      </c>
      <c r="R152" s="18">
        <f t="shared" si="7"/>
        <v>0</v>
      </c>
      <c r="S152" s="18">
        <f t="shared" si="8"/>
        <v>115.6</v>
      </c>
    </row>
    <row r="153" spans="1:19" x14ac:dyDescent="0.25">
      <c r="A153" s="36" t="s">
        <v>330</v>
      </c>
      <c r="B153" s="4" t="s">
        <v>331</v>
      </c>
      <c r="C153" s="5">
        <v>86</v>
      </c>
      <c r="D153" s="6" t="s">
        <v>332</v>
      </c>
      <c r="E153" s="6" t="s">
        <v>19</v>
      </c>
      <c r="F153" s="37">
        <v>41712</v>
      </c>
      <c r="G153" s="25">
        <f>468.17</f>
        <v>468.17</v>
      </c>
      <c r="H153" s="18"/>
      <c r="I153" s="136"/>
      <c r="J153" s="18"/>
      <c r="K153" s="8"/>
      <c r="L153" s="18"/>
      <c r="M153" s="18"/>
      <c r="N153" s="18"/>
      <c r="O153" s="18"/>
      <c r="P153" s="18"/>
      <c r="Q153" s="18">
        <f t="shared" si="6"/>
        <v>468.17</v>
      </c>
      <c r="R153" s="18">
        <f t="shared" si="7"/>
        <v>0</v>
      </c>
      <c r="S153" s="18">
        <f t="shared" si="8"/>
        <v>468.17</v>
      </c>
    </row>
    <row r="154" spans="1:19" x14ac:dyDescent="0.25">
      <c r="A154" s="36" t="s">
        <v>330</v>
      </c>
      <c r="B154" s="4" t="s">
        <v>331</v>
      </c>
      <c r="C154" s="5">
        <v>86</v>
      </c>
      <c r="D154" s="6" t="s">
        <v>333</v>
      </c>
      <c r="E154" s="6" t="s">
        <v>19</v>
      </c>
      <c r="F154" s="37">
        <v>41712</v>
      </c>
      <c r="G154" s="25">
        <f>170.04</f>
        <v>170.04</v>
      </c>
      <c r="H154" s="18"/>
      <c r="I154" s="136"/>
      <c r="J154" s="18"/>
      <c r="K154" s="8"/>
      <c r="L154" s="18"/>
      <c r="M154" s="18"/>
      <c r="N154" s="18"/>
      <c r="O154" s="18"/>
      <c r="P154" s="18"/>
      <c r="Q154" s="18">
        <f t="shared" si="6"/>
        <v>170.04</v>
      </c>
      <c r="R154" s="18">
        <f t="shared" si="7"/>
        <v>0</v>
      </c>
      <c r="S154" s="18">
        <f t="shared" si="8"/>
        <v>170.04</v>
      </c>
    </row>
    <row r="155" spans="1:19" x14ac:dyDescent="0.25">
      <c r="A155" s="36" t="s">
        <v>334</v>
      </c>
      <c r="B155" s="4" t="s">
        <v>335</v>
      </c>
      <c r="C155" s="5">
        <v>87</v>
      </c>
      <c r="D155" s="6" t="s">
        <v>337</v>
      </c>
      <c r="E155" s="6" t="s">
        <v>19</v>
      </c>
      <c r="F155" s="37">
        <v>41712</v>
      </c>
      <c r="G155" s="25">
        <f>275</f>
        <v>275</v>
      </c>
      <c r="H155" s="18"/>
      <c r="I155" s="136"/>
      <c r="J155" s="18"/>
      <c r="K155" s="8"/>
      <c r="L155" s="18"/>
      <c r="M155" s="18"/>
      <c r="N155" s="18"/>
      <c r="O155" s="18"/>
      <c r="P155" s="18"/>
      <c r="Q155" s="18">
        <f t="shared" si="6"/>
        <v>275</v>
      </c>
      <c r="R155" s="18">
        <f t="shared" si="7"/>
        <v>0</v>
      </c>
      <c r="S155" s="18">
        <f t="shared" si="8"/>
        <v>275</v>
      </c>
    </row>
    <row r="156" spans="1:19" x14ac:dyDescent="0.25">
      <c r="A156" s="36" t="s">
        <v>334</v>
      </c>
      <c r="B156" s="4" t="s">
        <v>335</v>
      </c>
      <c r="C156" s="5">
        <v>87</v>
      </c>
      <c r="D156" s="6" t="s">
        <v>336</v>
      </c>
      <c r="E156" s="6" t="s">
        <v>19</v>
      </c>
      <c r="F156" s="37">
        <v>41712</v>
      </c>
      <c r="G156" s="25">
        <f>345.33</f>
        <v>345.33</v>
      </c>
      <c r="H156" s="18"/>
      <c r="I156" s="136"/>
      <c r="J156" s="18"/>
      <c r="K156" s="8"/>
      <c r="L156" s="18"/>
      <c r="M156" s="18"/>
      <c r="N156" s="18"/>
      <c r="O156" s="18"/>
      <c r="P156" s="18"/>
      <c r="Q156" s="18">
        <f t="shared" si="6"/>
        <v>345.33</v>
      </c>
      <c r="R156" s="18">
        <f t="shared" si="7"/>
        <v>0</v>
      </c>
      <c r="S156" s="18">
        <f t="shared" si="8"/>
        <v>345.33</v>
      </c>
    </row>
    <row r="157" spans="1:19" x14ac:dyDescent="0.25">
      <c r="A157" s="36" t="s">
        <v>338</v>
      </c>
      <c r="B157" s="4" t="s">
        <v>339</v>
      </c>
      <c r="C157" s="5">
        <v>88</v>
      </c>
      <c r="D157" s="6" t="s">
        <v>340</v>
      </c>
      <c r="E157" s="6" t="s">
        <v>19</v>
      </c>
      <c r="F157" s="37">
        <v>41716</v>
      </c>
      <c r="G157" s="25">
        <v>108.47</v>
      </c>
      <c r="H157" s="18"/>
      <c r="I157" s="136"/>
      <c r="J157" s="18"/>
      <c r="K157" s="8"/>
      <c r="L157" s="18"/>
      <c r="M157" s="18"/>
      <c r="N157" s="18"/>
      <c r="O157" s="18"/>
      <c r="P157" s="18"/>
      <c r="Q157" s="18">
        <f t="shared" si="6"/>
        <v>108.47</v>
      </c>
      <c r="R157" s="18">
        <f t="shared" si="7"/>
        <v>0</v>
      </c>
      <c r="S157" s="18">
        <f t="shared" si="8"/>
        <v>108.47</v>
      </c>
    </row>
    <row r="158" spans="1:19" x14ac:dyDescent="0.25">
      <c r="A158" s="36" t="s">
        <v>338</v>
      </c>
      <c r="B158" s="4" t="s">
        <v>339</v>
      </c>
      <c r="C158" s="5">
        <v>88</v>
      </c>
      <c r="D158" s="6" t="s">
        <v>341</v>
      </c>
      <c r="E158" s="6" t="s">
        <v>19</v>
      </c>
      <c r="F158" s="37">
        <v>41716</v>
      </c>
      <c r="G158" s="25">
        <v>108.47</v>
      </c>
      <c r="H158" s="18"/>
      <c r="I158" s="136"/>
      <c r="J158" s="18"/>
      <c r="K158" s="8"/>
      <c r="L158" s="18"/>
      <c r="M158" s="18"/>
      <c r="N158" s="18"/>
      <c r="O158" s="18"/>
      <c r="P158" s="18"/>
      <c r="Q158" s="18">
        <f t="shared" si="6"/>
        <v>108.47</v>
      </c>
      <c r="R158" s="18">
        <f t="shared" si="7"/>
        <v>0</v>
      </c>
      <c r="S158" s="18">
        <f t="shared" si="8"/>
        <v>108.47</v>
      </c>
    </row>
    <row r="159" spans="1:19" x14ac:dyDescent="0.25">
      <c r="A159" s="36" t="s">
        <v>338</v>
      </c>
      <c r="B159" s="4" t="s">
        <v>339</v>
      </c>
      <c r="C159" s="5">
        <v>88</v>
      </c>
      <c r="D159" s="6" t="s">
        <v>342</v>
      </c>
      <c r="E159" s="6" t="s">
        <v>19</v>
      </c>
      <c r="F159" s="37">
        <v>41716</v>
      </c>
      <c r="G159" s="25">
        <v>129.12</v>
      </c>
      <c r="H159" s="18"/>
      <c r="I159" s="136"/>
      <c r="J159" s="18"/>
      <c r="K159" s="8"/>
      <c r="L159" s="18"/>
      <c r="M159" s="18"/>
      <c r="N159" s="18"/>
      <c r="O159" s="18"/>
      <c r="P159" s="18"/>
      <c r="Q159" s="18">
        <f t="shared" si="6"/>
        <v>129.12</v>
      </c>
      <c r="R159" s="18">
        <f t="shared" si="7"/>
        <v>0</v>
      </c>
      <c r="S159" s="18">
        <f t="shared" si="8"/>
        <v>129.12</v>
      </c>
    </row>
    <row r="160" spans="1:19" x14ac:dyDescent="0.25">
      <c r="A160" s="36" t="s">
        <v>338</v>
      </c>
      <c r="B160" s="4" t="s">
        <v>339</v>
      </c>
      <c r="C160" s="5">
        <v>88</v>
      </c>
      <c r="D160" s="6" t="s">
        <v>343</v>
      </c>
      <c r="E160" s="6" t="s">
        <v>19</v>
      </c>
      <c r="F160" s="37">
        <v>41716</v>
      </c>
      <c r="G160" s="25">
        <v>108.47</v>
      </c>
      <c r="H160" s="18"/>
      <c r="I160" s="136"/>
      <c r="J160" s="18"/>
      <c r="K160" s="8"/>
      <c r="L160" s="18"/>
      <c r="M160" s="18"/>
      <c r="N160" s="18"/>
      <c r="O160" s="18"/>
      <c r="P160" s="18"/>
      <c r="Q160" s="18">
        <f t="shared" si="6"/>
        <v>108.47</v>
      </c>
      <c r="R160" s="18">
        <f t="shared" si="7"/>
        <v>0</v>
      </c>
      <c r="S160" s="18">
        <f t="shared" si="8"/>
        <v>108.47</v>
      </c>
    </row>
    <row r="161" spans="1:19" x14ac:dyDescent="0.25">
      <c r="A161" s="36" t="s">
        <v>344</v>
      </c>
      <c r="B161" s="4" t="s">
        <v>345</v>
      </c>
      <c r="C161" s="5">
        <v>89</v>
      </c>
      <c r="D161" s="6" t="s">
        <v>346</v>
      </c>
      <c r="E161" s="6" t="s">
        <v>19</v>
      </c>
      <c r="F161" s="37">
        <v>41716</v>
      </c>
      <c r="G161" s="25">
        <v>118.58</v>
      </c>
      <c r="H161" s="18"/>
      <c r="I161" s="136"/>
      <c r="J161" s="18"/>
      <c r="K161" s="8"/>
      <c r="L161" s="18"/>
      <c r="M161" s="18"/>
      <c r="N161" s="18"/>
      <c r="O161" s="18"/>
      <c r="P161" s="18"/>
      <c r="Q161" s="18">
        <f t="shared" si="6"/>
        <v>118.58</v>
      </c>
      <c r="R161" s="18">
        <f t="shared" si="7"/>
        <v>0</v>
      </c>
      <c r="S161" s="18">
        <f t="shared" si="8"/>
        <v>118.58</v>
      </c>
    </row>
    <row r="162" spans="1:19" x14ac:dyDescent="0.25">
      <c r="A162" s="36" t="s">
        <v>347</v>
      </c>
      <c r="B162" s="4" t="s">
        <v>348</v>
      </c>
      <c r="C162" s="5">
        <v>90</v>
      </c>
      <c r="D162" s="6" t="s">
        <v>349</v>
      </c>
      <c r="E162" s="6" t="s">
        <v>19</v>
      </c>
      <c r="F162" s="37">
        <v>41718</v>
      </c>
      <c r="G162" s="25">
        <f>84.37</f>
        <v>84.37</v>
      </c>
      <c r="H162" s="18"/>
      <c r="I162" s="136"/>
      <c r="J162" s="18"/>
      <c r="K162" s="8"/>
      <c r="L162" s="18"/>
      <c r="M162" s="18"/>
      <c r="N162" s="18"/>
      <c r="O162" s="18"/>
      <c r="P162" s="18"/>
      <c r="Q162" s="18">
        <f t="shared" si="6"/>
        <v>84.37</v>
      </c>
      <c r="R162" s="18">
        <f t="shared" si="7"/>
        <v>0</v>
      </c>
      <c r="S162" s="18">
        <f t="shared" si="8"/>
        <v>84.37</v>
      </c>
    </row>
    <row r="163" spans="1:19" x14ac:dyDescent="0.25">
      <c r="A163" s="36" t="s">
        <v>350</v>
      </c>
      <c r="B163" s="4" t="s">
        <v>351</v>
      </c>
      <c r="C163" s="5">
        <v>91</v>
      </c>
      <c r="D163" s="6" t="s">
        <v>352</v>
      </c>
      <c r="E163" s="6" t="s">
        <v>19</v>
      </c>
      <c r="F163" s="37">
        <v>41654</v>
      </c>
      <c r="G163" s="25">
        <v>265.5</v>
      </c>
      <c r="H163" s="18"/>
      <c r="I163" s="136"/>
      <c r="J163" s="18"/>
      <c r="K163" s="8"/>
      <c r="L163" s="18"/>
      <c r="M163" s="18"/>
      <c r="N163" s="18"/>
      <c r="O163" s="18"/>
      <c r="P163" s="18"/>
      <c r="Q163" s="18">
        <f t="shared" si="6"/>
        <v>265.5</v>
      </c>
      <c r="R163" s="18">
        <f t="shared" si="7"/>
        <v>0</v>
      </c>
      <c r="S163" s="18">
        <f t="shared" si="8"/>
        <v>265.5</v>
      </c>
    </row>
    <row r="164" spans="1:19" x14ac:dyDescent="0.25">
      <c r="A164" s="36">
        <v>79765</v>
      </c>
      <c r="B164" s="4" t="s">
        <v>353</v>
      </c>
      <c r="C164" s="5">
        <v>92</v>
      </c>
      <c r="D164" s="6" t="s">
        <v>354</v>
      </c>
      <c r="E164" s="6" t="s">
        <v>19</v>
      </c>
      <c r="F164" s="37" t="e">
        <f>+'[1]2014'!$G$544</f>
        <v>#REF!</v>
      </c>
      <c r="G164" s="25">
        <v>110</v>
      </c>
      <c r="H164" s="18"/>
      <c r="I164" s="136"/>
      <c r="J164" s="18"/>
      <c r="K164" s="8"/>
      <c r="L164" s="18"/>
      <c r="M164" s="18"/>
      <c r="N164" s="18"/>
      <c r="O164" s="18"/>
      <c r="P164" s="18"/>
      <c r="Q164" s="18">
        <f t="shared" si="6"/>
        <v>110</v>
      </c>
      <c r="R164" s="18">
        <f t="shared" si="7"/>
        <v>0</v>
      </c>
      <c r="S164" s="18">
        <f t="shared" si="8"/>
        <v>110</v>
      </c>
    </row>
    <row r="165" spans="1:19" x14ac:dyDescent="0.25">
      <c r="A165" s="36">
        <v>73660</v>
      </c>
      <c r="B165" s="4" t="s">
        <v>355</v>
      </c>
      <c r="C165" s="5">
        <v>93</v>
      </c>
      <c r="D165" s="9" t="s">
        <v>356</v>
      </c>
      <c r="E165" s="6" t="s">
        <v>19</v>
      </c>
      <c r="F165" s="37">
        <v>41665</v>
      </c>
      <c r="G165" s="25">
        <v>210</v>
      </c>
      <c r="H165" s="18"/>
      <c r="I165" s="136"/>
      <c r="J165" s="18"/>
      <c r="K165" s="8"/>
      <c r="L165" s="18"/>
      <c r="M165" s="18"/>
      <c r="N165" s="18"/>
      <c r="O165" s="18"/>
      <c r="P165" s="18"/>
      <c r="Q165" s="18">
        <f t="shared" si="6"/>
        <v>210</v>
      </c>
      <c r="R165" s="18">
        <f t="shared" si="7"/>
        <v>0</v>
      </c>
      <c r="S165" s="18">
        <f t="shared" si="8"/>
        <v>210</v>
      </c>
    </row>
    <row r="166" spans="1:19" x14ac:dyDescent="0.25">
      <c r="A166" s="36">
        <v>87381</v>
      </c>
      <c r="B166" s="4" t="s">
        <v>357</v>
      </c>
      <c r="C166" s="5">
        <v>94</v>
      </c>
      <c r="D166" s="6" t="s">
        <v>358</v>
      </c>
      <c r="E166" s="6" t="s">
        <v>19</v>
      </c>
      <c r="F166" s="37">
        <v>41669</v>
      </c>
      <c r="G166" s="25">
        <v>107</v>
      </c>
      <c r="H166" s="18"/>
      <c r="I166" s="136"/>
      <c r="J166" s="18"/>
      <c r="K166" s="8"/>
      <c r="L166" s="18"/>
      <c r="M166" s="18"/>
      <c r="N166" s="18"/>
      <c r="O166" s="18"/>
      <c r="P166" s="18"/>
      <c r="Q166" s="18">
        <f t="shared" si="6"/>
        <v>107</v>
      </c>
      <c r="R166" s="18">
        <f t="shared" si="7"/>
        <v>0</v>
      </c>
      <c r="S166" s="18">
        <f t="shared" si="8"/>
        <v>107</v>
      </c>
    </row>
    <row r="167" spans="1:19" x14ac:dyDescent="0.25">
      <c r="A167" s="36">
        <v>85742</v>
      </c>
      <c r="B167" s="4" t="s">
        <v>359</v>
      </c>
      <c r="C167" s="5">
        <v>95</v>
      </c>
      <c r="D167" s="6" t="s">
        <v>360</v>
      </c>
      <c r="E167" s="6" t="s">
        <v>19</v>
      </c>
      <c r="F167" s="37">
        <v>41721</v>
      </c>
      <c r="G167" s="25">
        <f>828.55+148.95+319.57+148.95</f>
        <v>1446.02</v>
      </c>
      <c r="H167" s="18"/>
      <c r="I167" s="137">
        <v>1500</v>
      </c>
      <c r="J167" s="18"/>
      <c r="K167" s="8"/>
      <c r="L167" s="18"/>
      <c r="M167" s="18"/>
      <c r="N167" s="18"/>
      <c r="O167" s="18"/>
      <c r="P167" s="18"/>
      <c r="Q167" s="18">
        <f t="shared" si="6"/>
        <v>2946.02</v>
      </c>
      <c r="R167" s="18">
        <f t="shared" si="7"/>
        <v>0</v>
      </c>
      <c r="S167" s="18">
        <f t="shared" si="8"/>
        <v>2946.02</v>
      </c>
    </row>
    <row r="168" spans="1:19" x14ac:dyDescent="0.25">
      <c r="A168" s="36">
        <v>76313</v>
      </c>
      <c r="B168" s="4" t="s">
        <v>361</v>
      </c>
      <c r="C168" s="5">
        <v>96</v>
      </c>
      <c r="D168" s="6" t="s">
        <v>362</v>
      </c>
      <c r="E168" s="6" t="s">
        <v>19</v>
      </c>
      <c r="F168" s="37">
        <v>41723</v>
      </c>
      <c r="G168" s="25">
        <f>41.3+180.43+241.9+64.9</f>
        <v>528.53</v>
      </c>
      <c r="H168" s="18"/>
      <c r="I168" s="137">
        <f>25*17</f>
        <v>425</v>
      </c>
      <c r="J168" s="18"/>
      <c r="K168" s="8"/>
      <c r="L168" s="18"/>
      <c r="M168" s="18"/>
      <c r="N168" s="18"/>
      <c r="O168" s="18"/>
      <c r="P168" s="18"/>
      <c r="Q168" s="18">
        <f t="shared" si="6"/>
        <v>953.53</v>
      </c>
      <c r="R168" s="18">
        <f t="shared" si="7"/>
        <v>0</v>
      </c>
      <c r="S168" s="18">
        <f t="shared" si="8"/>
        <v>953.53</v>
      </c>
    </row>
    <row r="169" spans="1:19" x14ac:dyDescent="0.25">
      <c r="A169" s="36">
        <v>76313</v>
      </c>
      <c r="B169" s="4" t="s">
        <v>361</v>
      </c>
      <c r="C169" s="5">
        <v>96</v>
      </c>
      <c r="D169" s="6" t="s">
        <v>363</v>
      </c>
      <c r="E169" s="6" t="s">
        <v>19</v>
      </c>
      <c r="F169" s="37">
        <v>41723</v>
      </c>
      <c r="G169" s="25">
        <f>41.3+128.39+81.08+115.96</f>
        <v>366.72999999999996</v>
      </c>
      <c r="H169" s="18"/>
      <c r="I169" s="136"/>
      <c r="J169" s="18"/>
      <c r="K169" s="8"/>
      <c r="L169" s="18"/>
      <c r="M169" s="18"/>
      <c r="N169" s="18"/>
      <c r="O169" s="18"/>
      <c r="P169" s="18"/>
      <c r="Q169" s="18">
        <f t="shared" si="6"/>
        <v>366.72999999999996</v>
      </c>
      <c r="R169" s="18">
        <f t="shared" si="7"/>
        <v>0</v>
      </c>
      <c r="S169" s="18">
        <f t="shared" si="8"/>
        <v>366.72999999999996</v>
      </c>
    </row>
    <row r="170" spans="1:19" x14ac:dyDescent="0.25">
      <c r="A170" s="36">
        <v>76313</v>
      </c>
      <c r="B170" s="4" t="s">
        <v>361</v>
      </c>
      <c r="C170" s="5">
        <v>96</v>
      </c>
      <c r="D170" s="6" t="s">
        <v>364</v>
      </c>
      <c r="E170" s="6" t="s">
        <v>19</v>
      </c>
      <c r="F170" s="37">
        <v>41723</v>
      </c>
      <c r="G170" s="25">
        <f>155.67+74.45+99.21+41.3</f>
        <v>370.63</v>
      </c>
      <c r="H170" s="18"/>
      <c r="I170" s="136"/>
      <c r="J170" s="18"/>
      <c r="K170" s="8"/>
      <c r="L170" s="18"/>
      <c r="M170" s="18"/>
      <c r="N170" s="18"/>
      <c r="O170" s="18"/>
      <c r="P170" s="18"/>
      <c r="Q170" s="18">
        <f t="shared" si="6"/>
        <v>370.63</v>
      </c>
      <c r="R170" s="18">
        <f t="shared" si="7"/>
        <v>0</v>
      </c>
      <c r="S170" s="18">
        <f t="shared" si="8"/>
        <v>370.63</v>
      </c>
    </row>
    <row r="171" spans="1:19" x14ac:dyDescent="0.25">
      <c r="A171" s="36">
        <v>96811</v>
      </c>
      <c r="B171" s="4" t="s">
        <v>365</v>
      </c>
      <c r="C171" s="5">
        <v>97</v>
      </c>
      <c r="D171" s="6" t="s">
        <v>366</v>
      </c>
      <c r="E171" s="6" t="s">
        <v>19</v>
      </c>
      <c r="F171" s="37">
        <v>41726</v>
      </c>
      <c r="G171" s="25">
        <f>240+110.92</f>
        <v>350.92</v>
      </c>
      <c r="H171" s="18"/>
      <c r="I171" s="136"/>
      <c r="J171" s="18"/>
      <c r="K171" s="8"/>
      <c r="L171" s="18"/>
      <c r="M171" s="18"/>
      <c r="N171" s="18"/>
      <c r="O171" s="18"/>
      <c r="P171" s="18"/>
      <c r="Q171" s="18">
        <f t="shared" si="6"/>
        <v>350.92</v>
      </c>
      <c r="R171" s="18">
        <f t="shared" si="7"/>
        <v>0</v>
      </c>
      <c r="S171" s="18">
        <f t="shared" si="8"/>
        <v>350.92</v>
      </c>
    </row>
    <row r="172" spans="1:19" x14ac:dyDescent="0.25">
      <c r="A172" s="36">
        <v>76516</v>
      </c>
      <c r="B172" s="4" t="s">
        <v>367</v>
      </c>
      <c r="C172" s="5">
        <v>98</v>
      </c>
      <c r="D172" s="6" t="s">
        <v>368</v>
      </c>
      <c r="E172" s="6" t="s">
        <v>19</v>
      </c>
      <c r="F172" s="37">
        <v>41537</v>
      </c>
      <c r="G172" s="25">
        <v>83</v>
      </c>
      <c r="H172" s="18"/>
      <c r="I172" s="136"/>
      <c r="J172" s="18"/>
      <c r="K172" s="8"/>
      <c r="L172" s="18"/>
      <c r="M172" s="18"/>
      <c r="N172" s="18"/>
      <c r="O172" s="18"/>
      <c r="P172" s="18"/>
      <c r="Q172" s="18">
        <f t="shared" si="6"/>
        <v>83</v>
      </c>
      <c r="R172" s="18">
        <f t="shared" si="7"/>
        <v>0</v>
      </c>
      <c r="S172" s="18">
        <f t="shared" si="8"/>
        <v>83</v>
      </c>
    </row>
    <row r="173" spans="1:19" x14ac:dyDescent="0.25">
      <c r="A173" s="36">
        <v>68711</v>
      </c>
      <c r="B173" s="4" t="s">
        <v>369</v>
      </c>
      <c r="C173" s="5">
        <v>99</v>
      </c>
      <c r="D173" s="6" t="s">
        <v>370</v>
      </c>
      <c r="E173" s="6" t="s">
        <v>19</v>
      </c>
      <c r="F173" s="37">
        <v>41445</v>
      </c>
      <c r="G173" s="25">
        <v>107.5</v>
      </c>
      <c r="H173" s="18"/>
      <c r="I173" s="136"/>
      <c r="J173" s="18"/>
      <c r="K173" s="8"/>
      <c r="L173" s="18"/>
      <c r="M173" s="18"/>
      <c r="N173" s="18"/>
      <c r="O173" s="18"/>
      <c r="P173" s="18"/>
      <c r="Q173" s="18">
        <f t="shared" si="6"/>
        <v>107.5</v>
      </c>
      <c r="R173" s="18">
        <f t="shared" si="7"/>
        <v>0</v>
      </c>
      <c r="S173" s="18">
        <f t="shared" si="8"/>
        <v>107.5</v>
      </c>
    </row>
    <row r="174" spans="1:19" x14ac:dyDescent="0.25">
      <c r="A174" s="36">
        <v>69163</v>
      </c>
      <c r="B174" s="4" t="s">
        <v>371</v>
      </c>
      <c r="C174" s="5">
        <v>100</v>
      </c>
      <c r="D174" s="6" t="s">
        <v>372</v>
      </c>
      <c r="E174" s="6" t="s">
        <v>19</v>
      </c>
      <c r="F174" s="37">
        <v>41472</v>
      </c>
      <c r="G174" s="25">
        <v>239</v>
      </c>
      <c r="H174" s="18"/>
      <c r="I174" s="136"/>
      <c r="J174" s="18"/>
      <c r="K174" s="8"/>
      <c r="L174" s="18"/>
      <c r="M174" s="18"/>
      <c r="N174" s="18"/>
      <c r="O174" s="18"/>
      <c r="P174" s="18"/>
      <c r="Q174" s="18">
        <f t="shared" si="6"/>
        <v>239</v>
      </c>
      <c r="R174" s="18">
        <f t="shared" si="7"/>
        <v>0</v>
      </c>
      <c r="S174" s="18">
        <f t="shared" si="8"/>
        <v>239</v>
      </c>
    </row>
    <row r="175" spans="1:19" x14ac:dyDescent="0.25">
      <c r="A175" s="36">
        <v>76059</v>
      </c>
      <c r="B175" s="4" t="s">
        <v>373</v>
      </c>
      <c r="C175" s="5">
        <v>101</v>
      </c>
      <c r="D175" s="6" t="s">
        <v>374</v>
      </c>
      <c r="E175" s="6" t="s">
        <v>19</v>
      </c>
      <c r="F175" s="37">
        <v>41567</v>
      </c>
      <c r="G175" s="25">
        <v>208.3</v>
      </c>
      <c r="H175" s="18"/>
      <c r="I175" s="136"/>
      <c r="J175" s="18"/>
      <c r="K175" s="8"/>
      <c r="L175" s="18"/>
      <c r="M175" s="18"/>
      <c r="N175" s="18"/>
      <c r="O175" s="18"/>
      <c r="P175" s="18"/>
      <c r="Q175" s="18">
        <f t="shared" si="6"/>
        <v>208.3</v>
      </c>
      <c r="R175" s="18">
        <f t="shared" si="7"/>
        <v>0</v>
      </c>
      <c r="S175" s="18">
        <f t="shared" si="8"/>
        <v>208.3</v>
      </c>
    </row>
    <row r="176" spans="1:19" x14ac:dyDescent="0.25">
      <c r="A176" s="36">
        <v>67517</v>
      </c>
      <c r="B176" s="4" t="s">
        <v>375</v>
      </c>
      <c r="C176" s="5">
        <v>102</v>
      </c>
      <c r="D176" s="6" t="s">
        <v>376</v>
      </c>
      <c r="E176" s="6" t="s">
        <v>19</v>
      </c>
      <c r="F176" s="37">
        <v>41566</v>
      </c>
      <c r="G176" s="25">
        <v>166</v>
      </c>
      <c r="H176" s="18"/>
      <c r="I176" s="136"/>
      <c r="J176" s="18"/>
      <c r="K176" s="8"/>
      <c r="L176" s="18"/>
      <c r="M176" s="18"/>
      <c r="N176" s="18"/>
      <c r="O176" s="18"/>
      <c r="P176" s="18"/>
      <c r="Q176" s="18">
        <f t="shared" si="6"/>
        <v>166</v>
      </c>
      <c r="R176" s="18">
        <f t="shared" si="7"/>
        <v>0</v>
      </c>
      <c r="S176" s="18">
        <f t="shared" si="8"/>
        <v>166</v>
      </c>
    </row>
    <row r="177" spans="1:19" x14ac:dyDescent="0.25">
      <c r="A177" s="36">
        <v>79364</v>
      </c>
      <c r="B177" s="4" t="s">
        <v>377</v>
      </c>
      <c r="C177" s="5">
        <v>103</v>
      </c>
      <c r="D177" s="6" t="s">
        <v>378</v>
      </c>
      <c r="E177" s="6" t="s">
        <v>19</v>
      </c>
      <c r="F177" s="37">
        <v>41575</v>
      </c>
      <c r="G177" s="25">
        <v>84.4</v>
      </c>
      <c r="H177" s="18"/>
      <c r="I177" s="136"/>
      <c r="J177" s="18"/>
      <c r="K177" s="8"/>
      <c r="L177" s="18"/>
      <c r="M177" s="18"/>
      <c r="N177" s="18"/>
      <c r="O177" s="18"/>
      <c r="P177" s="18"/>
      <c r="Q177" s="18">
        <f t="shared" si="6"/>
        <v>84.4</v>
      </c>
      <c r="R177" s="18">
        <f t="shared" si="7"/>
        <v>0</v>
      </c>
      <c r="S177" s="18">
        <f t="shared" si="8"/>
        <v>84.4</v>
      </c>
    </row>
    <row r="178" spans="1:19" x14ac:dyDescent="0.25">
      <c r="A178" s="36">
        <v>73225</v>
      </c>
      <c r="B178" s="4" t="s">
        <v>379</v>
      </c>
      <c r="C178" s="5">
        <v>104</v>
      </c>
      <c r="D178" s="6" t="s">
        <v>380</v>
      </c>
      <c r="E178" s="6" t="s">
        <v>19</v>
      </c>
      <c r="F178" s="37">
        <v>41536</v>
      </c>
      <c r="G178" s="25">
        <v>75.5</v>
      </c>
      <c r="H178" s="18"/>
      <c r="I178" s="136"/>
      <c r="J178" s="18"/>
      <c r="K178" s="8"/>
      <c r="L178" s="18"/>
      <c r="M178" s="18"/>
      <c r="N178" s="18"/>
      <c r="O178" s="18"/>
      <c r="P178" s="18"/>
      <c r="Q178" s="18">
        <f t="shared" si="6"/>
        <v>75.5</v>
      </c>
      <c r="R178" s="18">
        <f t="shared" si="7"/>
        <v>0</v>
      </c>
      <c r="S178" s="18">
        <f t="shared" si="8"/>
        <v>75.5</v>
      </c>
    </row>
    <row r="179" spans="1:19" x14ac:dyDescent="0.25">
      <c r="A179" s="36">
        <v>73225</v>
      </c>
      <c r="B179" s="4" t="s">
        <v>379</v>
      </c>
      <c r="C179" s="5">
        <v>104</v>
      </c>
      <c r="D179" s="6" t="s">
        <v>381</v>
      </c>
      <c r="E179" s="6" t="s">
        <v>19</v>
      </c>
      <c r="F179" s="37">
        <v>41536</v>
      </c>
      <c r="G179" s="25">
        <v>75.3</v>
      </c>
      <c r="H179" s="18"/>
      <c r="I179" s="136"/>
      <c r="J179" s="18"/>
      <c r="K179" s="8"/>
      <c r="L179" s="18"/>
      <c r="M179" s="18"/>
      <c r="N179" s="18"/>
      <c r="O179" s="18"/>
      <c r="P179" s="18"/>
      <c r="Q179" s="18">
        <f t="shared" si="6"/>
        <v>75.3</v>
      </c>
      <c r="R179" s="18">
        <f t="shared" si="7"/>
        <v>0</v>
      </c>
      <c r="S179" s="18">
        <f t="shared" si="8"/>
        <v>75.3</v>
      </c>
    </row>
    <row r="180" spans="1:19" x14ac:dyDescent="0.25">
      <c r="A180" s="36">
        <v>71969</v>
      </c>
      <c r="B180" s="4" t="s">
        <v>382</v>
      </c>
      <c r="C180" s="5">
        <v>105</v>
      </c>
      <c r="D180" s="6" t="s">
        <v>383</v>
      </c>
      <c r="E180" s="6" t="s">
        <v>19</v>
      </c>
      <c r="F180" s="37">
        <v>41505</v>
      </c>
      <c r="G180" s="25">
        <v>42.1</v>
      </c>
      <c r="H180" s="18"/>
      <c r="I180" s="136"/>
      <c r="J180" s="18"/>
      <c r="K180" s="8"/>
      <c r="L180" s="18"/>
      <c r="M180" s="18"/>
      <c r="N180" s="18"/>
      <c r="O180" s="18"/>
      <c r="P180" s="18"/>
      <c r="Q180" s="18">
        <f t="shared" si="6"/>
        <v>42.1</v>
      </c>
      <c r="R180" s="18">
        <f t="shared" si="7"/>
        <v>0</v>
      </c>
      <c r="S180" s="18">
        <f t="shared" si="8"/>
        <v>42.1</v>
      </c>
    </row>
    <row r="181" spans="1:19" x14ac:dyDescent="0.25">
      <c r="A181" s="36">
        <v>68111</v>
      </c>
      <c r="B181" s="4" t="s">
        <v>384</v>
      </c>
      <c r="C181" s="5">
        <v>106</v>
      </c>
      <c r="D181" s="10" t="s">
        <v>385</v>
      </c>
      <c r="E181" s="6" t="s">
        <v>19</v>
      </c>
      <c r="F181" s="37">
        <v>41489</v>
      </c>
      <c r="G181" s="25">
        <v>130.4</v>
      </c>
      <c r="H181" s="18"/>
      <c r="I181" s="136"/>
      <c r="J181" s="18"/>
      <c r="K181" s="8"/>
      <c r="L181" s="18"/>
      <c r="M181" s="18"/>
      <c r="N181" s="18"/>
      <c r="O181" s="18"/>
      <c r="P181" s="18"/>
      <c r="Q181" s="18">
        <f t="shared" si="6"/>
        <v>130.4</v>
      </c>
      <c r="R181" s="18">
        <f t="shared" si="7"/>
        <v>0</v>
      </c>
      <c r="S181" s="18">
        <f t="shared" si="8"/>
        <v>130.4</v>
      </c>
    </row>
    <row r="182" spans="1:19" x14ac:dyDescent="0.25">
      <c r="A182" s="36">
        <v>84459</v>
      </c>
      <c r="B182" s="4" t="s">
        <v>365</v>
      </c>
      <c r="C182" s="5">
        <v>107</v>
      </c>
      <c r="D182" s="6" t="s">
        <v>386</v>
      </c>
      <c r="E182" s="6" t="s">
        <v>19</v>
      </c>
      <c r="F182" s="37">
        <v>41725</v>
      </c>
      <c r="G182" s="25">
        <f>317.19+260+238+29.88+94.4+473.3</f>
        <v>1412.77</v>
      </c>
      <c r="H182" s="18"/>
      <c r="I182" s="136"/>
      <c r="J182" s="18"/>
      <c r="K182" s="8"/>
      <c r="L182" s="18"/>
      <c r="M182" s="18"/>
      <c r="N182" s="18"/>
      <c r="O182" s="18"/>
      <c r="P182" s="18"/>
      <c r="Q182" s="18">
        <f t="shared" si="6"/>
        <v>1412.77</v>
      </c>
      <c r="R182" s="18">
        <f t="shared" si="7"/>
        <v>0</v>
      </c>
      <c r="S182" s="18">
        <f t="shared" si="8"/>
        <v>1412.77</v>
      </c>
    </row>
    <row r="183" spans="1:19" x14ac:dyDescent="0.25">
      <c r="A183" s="36">
        <v>90148</v>
      </c>
      <c r="B183" s="4" t="s">
        <v>387</v>
      </c>
      <c r="C183" s="5">
        <v>108</v>
      </c>
      <c r="D183" s="6" t="s">
        <v>388</v>
      </c>
      <c r="E183" s="6" t="s">
        <v>19</v>
      </c>
      <c r="F183" s="37">
        <v>41727</v>
      </c>
      <c r="G183" s="25">
        <f>260+142.9</f>
        <v>402.9</v>
      </c>
      <c r="H183" s="18"/>
      <c r="I183" s="136"/>
      <c r="J183" s="18"/>
      <c r="K183" s="8"/>
      <c r="L183" s="18"/>
      <c r="M183" s="18"/>
      <c r="N183" s="18"/>
      <c r="O183" s="18"/>
      <c r="P183" s="18"/>
      <c r="Q183" s="18">
        <f t="shared" si="6"/>
        <v>402.9</v>
      </c>
      <c r="R183" s="18">
        <f t="shared" si="7"/>
        <v>0</v>
      </c>
      <c r="S183" s="18">
        <f t="shared" si="8"/>
        <v>402.9</v>
      </c>
    </row>
    <row r="184" spans="1:19" x14ac:dyDescent="0.25">
      <c r="A184" s="36">
        <v>90148</v>
      </c>
      <c r="B184" s="4" t="s">
        <v>387</v>
      </c>
      <c r="C184" s="5">
        <v>108</v>
      </c>
      <c r="D184" s="24" t="s">
        <v>4404</v>
      </c>
      <c r="E184" s="6" t="s">
        <v>19</v>
      </c>
      <c r="F184" s="37">
        <v>41727</v>
      </c>
      <c r="G184" s="25"/>
      <c r="H184" s="18"/>
      <c r="I184" s="136"/>
      <c r="J184" s="18"/>
      <c r="K184" s="8"/>
      <c r="L184" s="18"/>
      <c r="M184" s="18"/>
      <c r="N184" s="18"/>
      <c r="O184" s="18"/>
      <c r="P184" s="18"/>
      <c r="Q184" s="18"/>
      <c r="R184" s="18"/>
      <c r="S184" s="18"/>
    </row>
    <row r="185" spans="1:19" x14ac:dyDescent="0.25">
      <c r="A185" s="36">
        <v>79887</v>
      </c>
      <c r="B185" s="4" t="s">
        <v>389</v>
      </c>
      <c r="C185" s="5">
        <v>109</v>
      </c>
      <c r="D185" s="6" t="s">
        <v>390</v>
      </c>
      <c r="E185" s="6" t="s">
        <v>19</v>
      </c>
      <c r="F185" s="37">
        <v>41558</v>
      </c>
      <c r="G185" s="25">
        <v>75.52</v>
      </c>
      <c r="H185" s="18"/>
      <c r="I185" s="136"/>
      <c r="J185" s="18"/>
      <c r="K185" s="8"/>
      <c r="L185" s="18"/>
      <c r="M185" s="18"/>
      <c r="N185" s="18"/>
      <c r="O185" s="18"/>
      <c r="P185" s="18"/>
      <c r="Q185" s="18">
        <f t="shared" si="6"/>
        <v>75.52</v>
      </c>
      <c r="R185" s="18">
        <f t="shared" si="7"/>
        <v>0</v>
      </c>
      <c r="S185" s="18">
        <f t="shared" si="8"/>
        <v>75.52</v>
      </c>
    </row>
    <row r="186" spans="1:19" x14ac:dyDescent="0.25">
      <c r="A186" s="36">
        <v>73840</v>
      </c>
      <c r="B186" s="4" t="s">
        <v>391</v>
      </c>
      <c r="C186" s="5">
        <v>110</v>
      </c>
      <c r="D186" s="6" t="s">
        <v>392</v>
      </c>
      <c r="E186" s="6" t="s">
        <v>19</v>
      </c>
      <c r="F186" s="37">
        <v>41487</v>
      </c>
      <c r="G186" s="25">
        <v>107</v>
      </c>
      <c r="H186" s="18"/>
      <c r="I186" s="136"/>
      <c r="J186" s="18"/>
      <c r="K186" s="8"/>
      <c r="L186" s="18"/>
      <c r="M186" s="18"/>
      <c r="N186" s="18"/>
      <c r="O186" s="18"/>
      <c r="P186" s="18"/>
      <c r="Q186" s="18">
        <f t="shared" si="6"/>
        <v>107</v>
      </c>
      <c r="R186" s="18">
        <f t="shared" si="7"/>
        <v>0</v>
      </c>
      <c r="S186" s="18">
        <f t="shared" si="8"/>
        <v>107</v>
      </c>
    </row>
    <row r="187" spans="1:19" x14ac:dyDescent="0.25">
      <c r="A187" s="36">
        <v>87168</v>
      </c>
      <c r="B187" s="4" t="s">
        <v>393</v>
      </c>
      <c r="C187" s="5">
        <v>111</v>
      </c>
      <c r="D187" s="6" t="s">
        <v>394</v>
      </c>
      <c r="E187" s="6" t="s">
        <v>19</v>
      </c>
      <c r="F187" s="37">
        <v>41604</v>
      </c>
      <c r="G187" s="25">
        <v>186.8</v>
      </c>
      <c r="H187" s="18"/>
      <c r="I187" s="136"/>
      <c r="J187" s="18"/>
      <c r="K187" s="8"/>
      <c r="L187" s="18"/>
      <c r="M187" s="18"/>
      <c r="N187" s="18"/>
      <c r="O187" s="18"/>
      <c r="P187" s="18"/>
      <c r="Q187" s="18">
        <f t="shared" si="6"/>
        <v>186.8</v>
      </c>
      <c r="R187" s="18">
        <f t="shared" si="7"/>
        <v>0</v>
      </c>
      <c r="S187" s="18">
        <f t="shared" si="8"/>
        <v>186.8</v>
      </c>
    </row>
    <row r="188" spans="1:19" x14ac:dyDescent="0.25">
      <c r="A188" s="36">
        <v>70904</v>
      </c>
      <c r="B188" s="4" t="s">
        <v>395</v>
      </c>
      <c r="C188" s="5">
        <v>112</v>
      </c>
      <c r="D188" s="6" t="s">
        <v>396</v>
      </c>
      <c r="E188" s="6" t="s">
        <v>19</v>
      </c>
      <c r="F188" s="37">
        <v>41456</v>
      </c>
      <c r="G188" s="25">
        <v>120.9</v>
      </c>
      <c r="H188" s="18"/>
      <c r="I188" s="136"/>
      <c r="J188" s="18"/>
      <c r="K188" s="8"/>
      <c r="L188" s="18"/>
      <c r="M188" s="18"/>
      <c r="N188" s="18"/>
      <c r="O188" s="18"/>
      <c r="P188" s="18"/>
      <c r="Q188" s="18">
        <f t="shared" si="6"/>
        <v>120.9</v>
      </c>
      <c r="R188" s="18">
        <f t="shared" si="7"/>
        <v>0</v>
      </c>
      <c r="S188" s="18">
        <f t="shared" si="8"/>
        <v>120.9</v>
      </c>
    </row>
    <row r="189" spans="1:19" x14ac:dyDescent="0.25">
      <c r="A189" s="36">
        <v>80883</v>
      </c>
      <c r="B189" s="4" t="s">
        <v>397</v>
      </c>
      <c r="C189" s="5">
        <v>113</v>
      </c>
      <c r="D189" s="6" t="s">
        <v>398</v>
      </c>
      <c r="E189" s="6" t="s">
        <v>19</v>
      </c>
      <c r="F189" s="37">
        <v>41683</v>
      </c>
      <c r="G189" s="25">
        <v>92.61</v>
      </c>
      <c r="H189" s="18"/>
      <c r="I189" s="136"/>
      <c r="J189" s="18"/>
      <c r="K189" s="8"/>
      <c r="L189" s="18"/>
      <c r="M189" s="18"/>
      <c r="N189" s="18"/>
      <c r="O189" s="18"/>
      <c r="P189" s="18"/>
      <c r="Q189" s="18">
        <f t="shared" si="6"/>
        <v>92.61</v>
      </c>
      <c r="R189" s="18">
        <f t="shared" si="7"/>
        <v>0</v>
      </c>
      <c r="S189" s="18">
        <f t="shared" si="8"/>
        <v>92.61</v>
      </c>
    </row>
    <row r="190" spans="1:19" x14ac:dyDescent="0.25">
      <c r="A190" s="36">
        <v>80883</v>
      </c>
      <c r="B190" s="4" t="s">
        <v>397</v>
      </c>
      <c r="C190" s="5">
        <v>113</v>
      </c>
      <c r="D190" s="6" t="s">
        <v>399</v>
      </c>
      <c r="E190" s="6" t="s">
        <v>19</v>
      </c>
      <c r="F190" s="37">
        <v>41683</v>
      </c>
      <c r="G190" s="25">
        <v>129.49</v>
      </c>
      <c r="H190" s="18"/>
      <c r="I190" s="136"/>
      <c r="J190" s="18"/>
      <c r="K190" s="8"/>
      <c r="L190" s="18"/>
      <c r="M190" s="18"/>
      <c r="N190" s="18"/>
      <c r="O190" s="18"/>
      <c r="P190" s="18"/>
      <c r="Q190" s="18">
        <f t="shared" si="6"/>
        <v>129.49</v>
      </c>
      <c r="R190" s="18">
        <f t="shared" si="7"/>
        <v>0</v>
      </c>
      <c r="S190" s="18">
        <f t="shared" si="8"/>
        <v>129.49</v>
      </c>
    </row>
    <row r="191" spans="1:19" x14ac:dyDescent="0.25">
      <c r="A191" s="36">
        <v>80883</v>
      </c>
      <c r="B191" s="4" t="s">
        <v>397</v>
      </c>
      <c r="C191" s="5">
        <v>113</v>
      </c>
      <c r="D191" s="6" t="s">
        <v>400</v>
      </c>
      <c r="E191" s="6" t="s">
        <v>19</v>
      </c>
      <c r="F191" s="37">
        <v>41683</v>
      </c>
      <c r="G191" s="25">
        <v>162.03</v>
      </c>
      <c r="H191" s="18"/>
      <c r="I191" s="136"/>
      <c r="J191" s="18"/>
      <c r="K191" s="8"/>
      <c r="L191" s="18"/>
      <c r="M191" s="18"/>
      <c r="N191" s="18"/>
      <c r="O191" s="18"/>
      <c r="P191" s="18"/>
      <c r="Q191" s="18">
        <f t="shared" si="6"/>
        <v>162.03</v>
      </c>
      <c r="R191" s="18">
        <f t="shared" si="7"/>
        <v>0</v>
      </c>
      <c r="S191" s="18">
        <f t="shared" si="8"/>
        <v>162.03</v>
      </c>
    </row>
    <row r="192" spans="1:19" x14ac:dyDescent="0.25">
      <c r="A192" s="36">
        <v>74669</v>
      </c>
      <c r="B192" s="4" t="s">
        <v>401</v>
      </c>
      <c r="C192" s="5">
        <v>114</v>
      </c>
      <c r="D192" s="6" t="s">
        <v>402</v>
      </c>
      <c r="E192" s="6" t="s">
        <v>19</v>
      </c>
      <c r="F192" s="37">
        <v>41617</v>
      </c>
      <c r="G192" s="25">
        <v>228.18</v>
      </c>
      <c r="H192" s="18"/>
      <c r="I192" s="136"/>
      <c r="J192" s="18"/>
      <c r="K192" s="8"/>
      <c r="L192" s="18"/>
      <c r="M192" s="18"/>
      <c r="N192" s="18"/>
      <c r="O192" s="18"/>
      <c r="P192" s="18"/>
      <c r="Q192" s="18">
        <f t="shared" si="6"/>
        <v>228.18</v>
      </c>
      <c r="R192" s="18">
        <f t="shared" si="7"/>
        <v>0</v>
      </c>
      <c r="S192" s="18">
        <f t="shared" si="8"/>
        <v>228.18</v>
      </c>
    </row>
    <row r="193" spans="1:19" x14ac:dyDescent="0.25">
      <c r="A193" s="36">
        <v>83630</v>
      </c>
      <c r="B193" s="4" t="s">
        <v>403</v>
      </c>
      <c r="C193" s="5">
        <v>115</v>
      </c>
      <c r="D193" s="6" t="s">
        <v>404</v>
      </c>
      <c r="E193" s="6" t="s">
        <v>19</v>
      </c>
      <c r="F193" s="37">
        <v>41610</v>
      </c>
      <c r="G193" s="25">
        <v>174.03</v>
      </c>
      <c r="H193" s="18"/>
      <c r="I193" s="136"/>
      <c r="J193" s="18"/>
      <c r="K193" s="8"/>
      <c r="L193" s="18"/>
      <c r="M193" s="18"/>
      <c r="N193" s="18"/>
      <c r="O193" s="18"/>
      <c r="P193" s="18"/>
      <c r="Q193" s="18">
        <f t="shared" si="6"/>
        <v>174.03</v>
      </c>
      <c r="R193" s="18">
        <f t="shared" si="7"/>
        <v>0</v>
      </c>
      <c r="S193" s="18">
        <f t="shared" si="8"/>
        <v>174.03</v>
      </c>
    </row>
    <row r="194" spans="1:19" x14ac:dyDescent="0.25">
      <c r="A194" s="36">
        <v>89924</v>
      </c>
      <c r="B194" s="4" t="s">
        <v>405</v>
      </c>
      <c r="C194" s="5">
        <v>116</v>
      </c>
      <c r="D194" s="6" t="s">
        <v>406</v>
      </c>
      <c r="E194" s="6" t="s">
        <v>19</v>
      </c>
      <c r="F194" s="37">
        <v>41684</v>
      </c>
      <c r="G194" s="25">
        <v>85.49</v>
      </c>
      <c r="H194" s="18"/>
      <c r="I194" s="136"/>
      <c r="J194" s="18"/>
      <c r="K194" s="8"/>
      <c r="L194" s="18"/>
      <c r="M194" s="18"/>
      <c r="N194" s="18"/>
      <c r="O194" s="18"/>
      <c r="P194" s="18"/>
      <c r="Q194" s="18">
        <f t="shared" si="6"/>
        <v>85.49</v>
      </c>
      <c r="R194" s="18">
        <f t="shared" si="7"/>
        <v>0</v>
      </c>
      <c r="S194" s="18">
        <f t="shared" si="8"/>
        <v>85.49</v>
      </c>
    </row>
    <row r="195" spans="1:19" x14ac:dyDescent="0.25">
      <c r="A195" s="36">
        <v>87480</v>
      </c>
      <c r="B195" s="4" t="s">
        <v>407</v>
      </c>
      <c r="C195" s="5">
        <v>117</v>
      </c>
      <c r="D195" s="6" t="s">
        <v>408</v>
      </c>
      <c r="E195" s="6" t="s">
        <v>19</v>
      </c>
      <c r="F195" s="37">
        <v>41726</v>
      </c>
      <c r="G195" s="25">
        <f>490.03+41.3</f>
        <v>531.32999999999993</v>
      </c>
      <c r="H195" s="18"/>
      <c r="I195" s="136"/>
      <c r="J195" s="18"/>
      <c r="K195" s="8"/>
      <c r="L195" s="18"/>
      <c r="M195" s="18"/>
      <c r="N195" s="18"/>
      <c r="O195" s="18"/>
      <c r="P195" s="18"/>
      <c r="Q195" s="18">
        <f t="shared" si="6"/>
        <v>531.32999999999993</v>
      </c>
      <c r="R195" s="18">
        <f t="shared" si="7"/>
        <v>0</v>
      </c>
      <c r="S195" s="18">
        <f t="shared" si="8"/>
        <v>531.32999999999993</v>
      </c>
    </row>
    <row r="196" spans="1:19" x14ac:dyDescent="0.25">
      <c r="A196" s="36">
        <v>80648</v>
      </c>
      <c r="B196" s="4" t="s">
        <v>409</v>
      </c>
      <c r="C196" s="5">
        <v>118</v>
      </c>
      <c r="D196" s="6" t="s">
        <v>410</v>
      </c>
      <c r="E196" s="6" t="s">
        <v>19</v>
      </c>
      <c r="F196" s="37">
        <v>41734</v>
      </c>
      <c r="G196" s="25">
        <f>4145+47.2+47.2+21.69+121.4+77.56+1676.3+2634.7+95</f>
        <v>8866.0499999999993</v>
      </c>
      <c r="H196" s="18"/>
      <c r="I196" s="137">
        <f>750+1500</f>
        <v>2250</v>
      </c>
      <c r="J196" s="18"/>
      <c r="K196" s="8"/>
      <c r="L196" s="18"/>
      <c r="M196" s="18"/>
      <c r="N196" s="18"/>
      <c r="O196" s="18"/>
      <c r="P196" s="18"/>
      <c r="Q196" s="18">
        <f t="shared" si="6"/>
        <v>11116.05</v>
      </c>
      <c r="R196" s="18">
        <f t="shared" si="7"/>
        <v>0</v>
      </c>
      <c r="S196" s="18">
        <f t="shared" si="8"/>
        <v>11116.05</v>
      </c>
    </row>
    <row r="197" spans="1:19" x14ac:dyDescent="0.25">
      <c r="A197" s="36">
        <v>95506</v>
      </c>
      <c r="B197" s="4" t="s">
        <v>411</v>
      </c>
      <c r="C197" s="5">
        <v>119</v>
      </c>
      <c r="D197" s="6" t="s">
        <v>412</v>
      </c>
      <c r="E197" s="6" t="s">
        <v>19</v>
      </c>
      <c r="F197" s="37">
        <v>41735</v>
      </c>
      <c r="G197" s="25">
        <f>238+238+238+361.3+861.04+222.7</f>
        <v>2159.04</v>
      </c>
      <c r="H197" s="18"/>
      <c r="I197" s="136"/>
      <c r="J197" s="18"/>
      <c r="K197" s="8"/>
      <c r="L197" s="18"/>
      <c r="M197" s="18"/>
      <c r="N197" s="18"/>
      <c r="O197" s="18"/>
      <c r="P197" s="18"/>
      <c r="Q197" s="18">
        <f t="shared" si="6"/>
        <v>2159.04</v>
      </c>
      <c r="R197" s="18">
        <f t="shared" si="7"/>
        <v>0</v>
      </c>
      <c r="S197" s="18">
        <f t="shared" si="8"/>
        <v>2159.04</v>
      </c>
    </row>
    <row r="198" spans="1:19" x14ac:dyDescent="0.25">
      <c r="A198" s="36">
        <v>86568</v>
      </c>
      <c r="B198" s="4" t="s">
        <v>413</v>
      </c>
      <c r="C198" s="5">
        <v>120</v>
      </c>
      <c r="D198" s="6" t="s">
        <v>414</v>
      </c>
      <c r="E198" s="6" t="s">
        <v>19</v>
      </c>
      <c r="F198" s="37">
        <v>41629</v>
      </c>
      <c r="G198" s="25">
        <v>92.61</v>
      </c>
      <c r="H198" s="18"/>
      <c r="I198" s="136"/>
      <c r="J198" s="18"/>
      <c r="K198" s="8"/>
      <c r="L198" s="18"/>
      <c r="M198" s="18"/>
      <c r="N198" s="18"/>
      <c r="O198" s="18"/>
      <c r="P198" s="18"/>
      <c r="Q198" s="18">
        <f t="shared" si="6"/>
        <v>92.61</v>
      </c>
      <c r="R198" s="18">
        <f t="shared" si="7"/>
        <v>0</v>
      </c>
      <c r="S198" s="18">
        <f t="shared" si="8"/>
        <v>92.61</v>
      </c>
    </row>
    <row r="199" spans="1:19" x14ac:dyDescent="0.25">
      <c r="A199" s="36">
        <v>98394</v>
      </c>
      <c r="B199" s="4" t="s">
        <v>415</v>
      </c>
      <c r="C199" s="5">
        <v>121</v>
      </c>
      <c r="D199" s="6" t="s">
        <v>416</v>
      </c>
      <c r="E199" s="6" t="s">
        <v>19</v>
      </c>
      <c r="F199" s="37">
        <v>41734</v>
      </c>
      <c r="G199" s="25">
        <f>240+58.04+62.3+181.18</f>
        <v>541.52</v>
      </c>
      <c r="H199" s="18"/>
      <c r="I199" s="136"/>
      <c r="J199" s="18"/>
      <c r="K199" s="8"/>
      <c r="L199" s="18"/>
      <c r="M199" s="18"/>
      <c r="N199" s="18"/>
      <c r="O199" s="18"/>
      <c r="P199" s="18"/>
      <c r="Q199" s="18">
        <f t="shared" si="6"/>
        <v>541.52</v>
      </c>
      <c r="R199" s="18">
        <f t="shared" si="7"/>
        <v>0</v>
      </c>
      <c r="S199" s="18">
        <f t="shared" si="8"/>
        <v>541.52</v>
      </c>
    </row>
    <row r="200" spans="1:19" x14ac:dyDescent="0.25">
      <c r="A200" s="36">
        <v>98394</v>
      </c>
      <c r="B200" s="4" t="s">
        <v>415</v>
      </c>
      <c r="C200" s="5">
        <v>121</v>
      </c>
      <c r="D200" s="6" t="s">
        <v>417</v>
      </c>
      <c r="E200" s="6" t="s">
        <v>19</v>
      </c>
      <c r="F200" s="37">
        <v>41734</v>
      </c>
      <c r="G200" s="25">
        <v>47.2</v>
      </c>
      <c r="H200" s="18"/>
      <c r="I200" s="136"/>
      <c r="J200" s="18"/>
      <c r="K200" s="8"/>
      <c r="L200" s="18"/>
      <c r="M200" s="18"/>
      <c r="N200" s="18"/>
      <c r="O200" s="18"/>
      <c r="P200" s="18"/>
      <c r="Q200" s="18">
        <f t="shared" si="6"/>
        <v>47.2</v>
      </c>
      <c r="R200" s="18">
        <f t="shared" si="7"/>
        <v>0</v>
      </c>
      <c r="S200" s="18">
        <f t="shared" si="8"/>
        <v>47.2</v>
      </c>
    </row>
    <row r="201" spans="1:19" x14ac:dyDescent="0.25">
      <c r="A201" s="36">
        <v>98394</v>
      </c>
      <c r="B201" s="4" t="s">
        <v>415</v>
      </c>
      <c r="C201" s="5">
        <v>121</v>
      </c>
      <c r="D201" s="6" t="s">
        <v>418</v>
      </c>
      <c r="E201" s="6" t="s">
        <v>19</v>
      </c>
      <c r="F201" s="37">
        <v>41734</v>
      </c>
      <c r="G201" s="25"/>
      <c r="H201" s="18"/>
      <c r="I201" s="136"/>
      <c r="J201" s="18"/>
      <c r="K201" s="8"/>
      <c r="L201" s="18"/>
      <c r="M201" s="18"/>
      <c r="N201" s="18"/>
      <c r="O201" s="18"/>
      <c r="P201" s="18"/>
      <c r="Q201" s="18">
        <f t="shared" si="6"/>
        <v>0</v>
      </c>
      <c r="R201" s="18">
        <f t="shared" si="7"/>
        <v>0</v>
      </c>
      <c r="S201" s="18">
        <f t="shared" si="8"/>
        <v>0</v>
      </c>
    </row>
    <row r="202" spans="1:19" x14ac:dyDescent="0.25">
      <c r="A202" s="36">
        <v>98394</v>
      </c>
      <c r="B202" s="4" t="s">
        <v>415</v>
      </c>
      <c r="C202" s="5">
        <v>121</v>
      </c>
      <c r="D202" s="6" t="s">
        <v>419</v>
      </c>
      <c r="E202" s="6" t="s">
        <v>19</v>
      </c>
      <c r="F202" s="37">
        <v>41734</v>
      </c>
      <c r="G202" s="25">
        <f>59.9+109.59+68.89+116.09</f>
        <v>354.47</v>
      </c>
      <c r="H202" s="18"/>
      <c r="I202" s="136"/>
      <c r="J202" s="18"/>
      <c r="K202" s="8"/>
      <c r="L202" s="18"/>
      <c r="M202" s="18"/>
      <c r="N202" s="18"/>
      <c r="O202" s="18"/>
      <c r="P202" s="18"/>
      <c r="Q202" s="18">
        <f t="shared" ref="Q202:Q208" si="9">+G202+I202+K202+M202+O202</f>
        <v>354.47</v>
      </c>
      <c r="R202" s="18">
        <f t="shared" ref="R202:R208" si="10">+H202+J202+L202+N202+P202</f>
        <v>0</v>
      </c>
      <c r="S202" s="18">
        <f t="shared" ref="S202:S208" si="11">+Q202+R202</f>
        <v>354.47</v>
      </c>
    </row>
    <row r="203" spans="1:19" x14ac:dyDescent="0.25">
      <c r="A203" s="36">
        <v>98394</v>
      </c>
      <c r="B203" s="4" t="s">
        <v>415</v>
      </c>
      <c r="C203" s="5">
        <v>121</v>
      </c>
      <c r="D203" s="6" t="s">
        <v>420</v>
      </c>
      <c r="E203" s="6" t="s">
        <v>19</v>
      </c>
      <c r="F203" s="37">
        <v>41734</v>
      </c>
      <c r="G203" s="25">
        <f>240+47.2+47.2</f>
        <v>334.4</v>
      </c>
      <c r="H203" s="18"/>
      <c r="I203" s="136"/>
      <c r="J203" s="18"/>
      <c r="K203" s="8"/>
      <c r="L203" s="18"/>
      <c r="M203" s="18"/>
      <c r="N203" s="18"/>
      <c r="O203" s="18"/>
      <c r="P203" s="18"/>
      <c r="Q203" s="18">
        <f t="shared" si="9"/>
        <v>334.4</v>
      </c>
      <c r="R203" s="18">
        <f t="shared" si="10"/>
        <v>0</v>
      </c>
      <c r="S203" s="18">
        <f t="shared" si="11"/>
        <v>334.4</v>
      </c>
    </row>
    <row r="204" spans="1:19" x14ac:dyDescent="0.25">
      <c r="A204" s="36">
        <v>86121</v>
      </c>
      <c r="B204" s="4" t="s">
        <v>421</v>
      </c>
      <c r="C204" s="5">
        <v>122</v>
      </c>
      <c r="D204" s="6" t="s">
        <v>422</v>
      </c>
      <c r="E204" s="6" t="s">
        <v>19</v>
      </c>
      <c r="F204" s="37">
        <v>41737</v>
      </c>
      <c r="G204" s="25">
        <v>105.77</v>
      </c>
      <c r="H204" s="18"/>
      <c r="I204" s="136"/>
      <c r="J204" s="18"/>
      <c r="K204" s="8"/>
      <c r="L204" s="18"/>
      <c r="M204" s="18"/>
      <c r="N204" s="18"/>
      <c r="O204" s="18"/>
      <c r="P204" s="18"/>
      <c r="Q204" s="18">
        <f t="shared" si="9"/>
        <v>105.77</v>
      </c>
      <c r="R204" s="18">
        <f t="shared" si="10"/>
        <v>0</v>
      </c>
      <c r="S204" s="18">
        <f t="shared" si="11"/>
        <v>105.77</v>
      </c>
    </row>
    <row r="205" spans="1:19" x14ac:dyDescent="0.25">
      <c r="A205" s="36">
        <v>75688</v>
      </c>
      <c r="B205" s="4" t="s">
        <v>423</v>
      </c>
      <c r="C205" s="5">
        <v>123</v>
      </c>
      <c r="D205" s="6" t="s">
        <v>424</v>
      </c>
      <c r="E205" s="6" t="s">
        <v>19</v>
      </c>
      <c r="F205" s="37">
        <v>41686</v>
      </c>
      <c r="G205" s="25">
        <v>99.5</v>
      </c>
      <c r="H205" s="18"/>
      <c r="I205" s="136"/>
      <c r="J205" s="18"/>
      <c r="K205" s="8"/>
      <c r="L205" s="18"/>
      <c r="M205" s="18"/>
      <c r="N205" s="18"/>
      <c r="O205" s="18"/>
      <c r="P205" s="18"/>
      <c r="Q205" s="18">
        <f t="shared" si="9"/>
        <v>99.5</v>
      </c>
      <c r="R205" s="18">
        <f t="shared" si="10"/>
        <v>0</v>
      </c>
      <c r="S205" s="18">
        <f t="shared" si="11"/>
        <v>99.5</v>
      </c>
    </row>
    <row r="206" spans="1:19" x14ac:dyDescent="0.25">
      <c r="A206" s="36">
        <v>75688</v>
      </c>
      <c r="B206" s="4" t="s">
        <v>423</v>
      </c>
      <c r="C206" s="5">
        <v>123</v>
      </c>
      <c r="D206" s="6" t="s">
        <v>425</v>
      </c>
      <c r="E206" s="6" t="s">
        <v>19</v>
      </c>
      <c r="F206" s="37">
        <v>41686</v>
      </c>
      <c r="G206" s="25">
        <v>40</v>
      </c>
      <c r="H206" s="18"/>
      <c r="I206" s="136"/>
      <c r="J206" s="18"/>
      <c r="K206" s="8"/>
      <c r="L206" s="18"/>
      <c r="M206" s="18"/>
      <c r="N206" s="18"/>
      <c r="O206" s="18"/>
      <c r="P206" s="18"/>
      <c r="Q206" s="18">
        <f t="shared" si="9"/>
        <v>40</v>
      </c>
      <c r="R206" s="18">
        <f t="shared" si="10"/>
        <v>0</v>
      </c>
      <c r="S206" s="18">
        <f t="shared" si="11"/>
        <v>40</v>
      </c>
    </row>
    <row r="207" spans="1:19" x14ac:dyDescent="0.25">
      <c r="A207" s="36">
        <v>87068</v>
      </c>
      <c r="B207" s="4" t="s">
        <v>426</v>
      </c>
      <c r="C207" s="5">
        <v>124</v>
      </c>
      <c r="D207" s="6" t="s">
        <v>427</v>
      </c>
      <c r="E207" s="6" t="s">
        <v>19</v>
      </c>
      <c r="F207" s="37">
        <v>41718</v>
      </c>
      <c r="G207" s="25">
        <v>107.6</v>
      </c>
      <c r="H207" s="18"/>
      <c r="I207" s="136"/>
      <c r="J207" s="18"/>
      <c r="K207" s="8"/>
      <c r="L207" s="18"/>
      <c r="M207" s="18"/>
      <c r="N207" s="18"/>
      <c r="O207" s="18"/>
      <c r="P207" s="18"/>
      <c r="Q207" s="18">
        <f t="shared" si="9"/>
        <v>107.6</v>
      </c>
      <c r="R207" s="18">
        <f t="shared" si="10"/>
        <v>0</v>
      </c>
      <c r="S207" s="18">
        <f t="shared" si="11"/>
        <v>107.6</v>
      </c>
    </row>
    <row r="208" spans="1:19" x14ac:dyDescent="0.25">
      <c r="A208" s="36">
        <v>85746</v>
      </c>
      <c r="B208" s="4" t="s">
        <v>428</v>
      </c>
      <c r="C208" s="5">
        <v>125</v>
      </c>
      <c r="D208" s="6" t="s">
        <v>4246</v>
      </c>
      <c r="E208" s="6" t="s">
        <v>19</v>
      </c>
      <c r="F208" s="37">
        <v>41718</v>
      </c>
      <c r="G208" s="25">
        <v>177.6</v>
      </c>
      <c r="H208" s="18"/>
      <c r="I208" s="136"/>
      <c r="J208" s="18"/>
      <c r="K208" s="8"/>
      <c r="L208" s="18"/>
      <c r="M208" s="18"/>
      <c r="N208" s="18"/>
      <c r="O208" s="18"/>
      <c r="P208" s="18"/>
      <c r="Q208" s="18">
        <f t="shared" si="9"/>
        <v>177.6</v>
      </c>
      <c r="R208" s="18">
        <f t="shared" si="10"/>
        <v>0</v>
      </c>
      <c r="S208" s="18">
        <f t="shared" si="11"/>
        <v>177.6</v>
      </c>
    </row>
    <row r="209" spans="1:19" x14ac:dyDescent="0.25">
      <c r="A209" s="36">
        <v>85746</v>
      </c>
      <c r="B209" s="4" t="s">
        <v>428</v>
      </c>
      <c r="C209" s="5">
        <v>125</v>
      </c>
      <c r="D209" s="6" t="s">
        <v>4247</v>
      </c>
      <c r="E209" s="6" t="s">
        <v>19</v>
      </c>
      <c r="F209" s="37">
        <v>41718</v>
      </c>
      <c r="G209" s="25">
        <f>363.9</f>
        <v>363.9</v>
      </c>
      <c r="H209" s="18"/>
      <c r="I209" s="136"/>
      <c r="J209" s="18"/>
      <c r="K209" s="8"/>
      <c r="L209" s="18"/>
      <c r="M209" s="18"/>
      <c r="N209" s="18"/>
      <c r="O209" s="18"/>
      <c r="P209" s="18"/>
      <c r="Q209" s="18">
        <f t="shared" ref="Q209:Q272" si="12">+G209+I209+K209+M209+O209</f>
        <v>363.9</v>
      </c>
      <c r="R209" s="18">
        <f t="shared" ref="R209:R272" si="13">+H209+J209+L209+N209+P209</f>
        <v>0</v>
      </c>
      <c r="S209" s="18">
        <f t="shared" ref="S209:S272" si="14">+Q209+R209</f>
        <v>363.9</v>
      </c>
    </row>
    <row r="210" spans="1:19" x14ac:dyDescent="0.25">
      <c r="A210" s="36">
        <v>79523</v>
      </c>
      <c r="B210" s="4" t="s">
        <v>429</v>
      </c>
      <c r="C210" s="5">
        <v>126</v>
      </c>
      <c r="D210" s="6" t="s">
        <v>430</v>
      </c>
      <c r="E210" s="6" t="s">
        <v>19</v>
      </c>
      <c r="F210" s="37">
        <v>41730</v>
      </c>
      <c r="G210" s="25">
        <v>113.6</v>
      </c>
      <c r="H210" s="18"/>
      <c r="I210" s="136"/>
      <c r="J210" s="18"/>
      <c r="K210" s="8"/>
      <c r="L210" s="18"/>
      <c r="M210" s="18"/>
      <c r="N210" s="18"/>
      <c r="O210" s="18"/>
      <c r="P210" s="18"/>
      <c r="Q210" s="18">
        <f t="shared" si="12"/>
        <v>113.6</v>
      </c>
      <c r="R210" s="18">
        <f t="shared" si="13"/>
        <v>0</v>
      </c>
      <c r="S210" s="18">
        <f t="shared" si="14"/>
        <v>113.6</v>
      </c>
    </row>
    <row r="211" spans="1:19" x14ac:dyDescent="0.25">
      <c r="A211" s="36">
        <v>77932</v>
      </c>
      <c r="B211" s="4" t="s">
        <v>431</v>
      </c>
      <c r="C211" s="5">
        <v>127</v>
      </c>
      <c r="D211" s="6" t="s">
        <v>432</v>
      </c>
      <c r="E211" s="6" t="s">
        <v>19</v>
      </c>
      <c r="F211" s="37">
        <v>41732</v>
      </c>
      <c r="G211" s="25">
        <v>222.2</v>
      </c>
      <c r="H211" s="18"/>
      <c r="I211" s="136"/>
      <c r="J211" s="18"/>
      <c r="K211" s="8"/>
      <c r="L211" s="18"/>
      <c r="M211" s="18"/>
      <c r="N211" s="18"/>
      <c r="O211" s="18"/>
      <c r="P211" s="18"/>
      <c r="Q211" s="18">
        <f t="shared" si="12"/>
        <v>222.2</v>
      </c>
      <c r="R211" s="18">
        <f t="shared" si="13"/>
        <v>0</v>
      </c>
      <c r="S211" s="18">
        <f t="shared" si="14"/>
        <v>222.2</v>
      </c>
    </row>
    <row r="212" spans="1:19" x14ac:dyDescent="0.25">
      <c r="A212" s="36">
        <v>78274</v>
      </c>
      <c r="B212" s="4" t="s">
        <v>433</v>
      </c>
      <c r="C212" s="5">
        <v>128</v>
      </c>
      <c r="D212" s="6" t="s">
        <v>434</v>
      </c>
      <c r="E212" s="6" t="s">
        <v>19</v>
      </c>
      <c r="F212" s="37">
        <v>41734</v>
      </c>
      <c r="G212" s="25">
        <v>48</v>
      </c>
      <c r="H212" s="18"/>
      <c r="I212" s="136"/>
      <c r="J212" s="18"/>
      <c r="K212" s="8"/>
      <c r="L212" s="18"/>
      <c r="M212" s="18"/>
      <c r="N212" s="18"/>
      <c r="O212" s="18"/>
      <c r="P212" s="18"/>
      <c r="Q212" s="18">
        <f t="shared" si="12"/>
        <v>48</v>
      </c>
      <c r="R212" s="18">
        <f t="shared" si="13"/>
        <v>0</v>
      </c>
      <c r="S212" s="18">
        <f t="shared" si="14"/>
        <v>48</v>
      </c>
    </row>
    <row r="213" spans="1:19" x14ac:dyDescent="0.25">
      <c r="A213" s="36">
        <v>84587</v>
      </c>
      <c r="B213" s="4" t="s">
        <v>435</v>
      </c>
      <c r="C213" s="5">
        <v>129</v>
      </c>
      <c r="D213" s="6" t="s">
        <v>436</v>
      </c>
      <c r="E213" s="6" t="s">
        <v>19</v>
      </c>
      <c r="F213" s="37">
        <v>41735</v>
      </c>
      <c r="G213" s="25">
        <v>82.3</v>
      </c>
      <c r="H213" s="18"/>
      <c r="I213" s="136"/>
      <c r="J213" s="18"/>
      <c r="K213" s="8"/>
      <c r="L213" s="18"/>
      <c r="M213" s="18"/>
      <c r="N213" s="18"/>
      <c r="O213" s="18"/>
      <c r="P213" s="18"/>
      <c r="Q213" s="18">
        <f t="shared" si="12"/>
        <v>82.3</v>
      </c>
      <c r="R213" s="18">
        <f t="shared" si="13"/>
        <v>0</v>
      </c>
      <c r="S213" s="18">
        <f t="shared" si="14"/>
        <v>82.3</v>
      </c>
    </row>
    <row r="214" spans="1:19" x14ac:dyDescent="0.25">
      <c r="A214" s="36">
        <v>84587</v>
      </c>
      <c r="B214" s="4" t="s">
        <v>435</v>
      </c>
      <c r="C214" s="5">
        <v>129</v>
      </c>
      <c r="D214" s="6" t="s">
        <v>437</v>
      </c>
      <c r="E214" s="6" t="s">
        <v>19</v>
      </c>
      <c r="F214" s="37">
        <v>41735</v>
      </c>
      <c r="G214" s="25">
        <v>111.6</v>
      </c>
      <c r="H214" s="18"/>
      <c r="I214" s="136"/>
      <c r="J214" s="18"/>
      <c r="K214" s="8"/>
      <c r="L214" s="18"/>
      <c r="M214" s="18"/>
      <c r="N214" s="18"/>
      <c r="O214" s="18"/>
      <c r="P214" s="18"/>
      <c r="Q214" s="18">
        <f t="shared" si="12"/>
        <v>111.6</v>
      </c>
      <c r="R214" s="18">
        <f t="shared" si="13"/>
        <v>0</v>
      </c>
      <c r="S214" s="18">
        <f t="shared" si="14"/>
        <v>111.6</v>
      </c>
    </row>
    <row r="215" spans="1:19" x14ac:dyDescent="0.25">
      <c r="A215" s="36">
        <v>96918</v>
      </c>
      <c r="B215" s="4" t="s">
        <v>438</v>
      </c>
      <c r="C215" s="5">
        <v>130</v>
      </c>
      <c r="D215" s="6" t="s">
        <v>439</v>
      </c>
      <c r="E215" s="6" t="s">
        <v>19</v>
      </c>
      <c r="F215" s="37">
        <v>41735</v>
      </c>
      <c r="G215" s="25">
        <v>211.5</v>
      </c>
      <c r="H215" s="18"/>
      <c r="I215" s="136"/>
      <c r="J215" s="18"/>
      <c r="K215" s="8"/>
      <c r="L215" s="18"/>
      <c r="M215" s="18"/>
      <c r="N215" s="18"/>
      <c r="O215" s="18"/>
      <c r="P215" s="18"/>
      <c r="Q215" s="18">
        <f t="shared" si="12"/>
        <v>211.5</v>
      </c>
      <c r="R215" s="18">
        <f t="shared" si="13"/>
        <v>0</v>
      </c>
      <c r="S215" s="18">
        <f t="shared" si="14"/>
        <v>211.5</v>
      </c>
    </row>
    <row r="216" spans="1:19" x14ac:dyDescent="0.25">
      <c r="A216" s="36">
        <v>88559</v>
      </c>
      <c r="B216" s="4" t="s">
        <v>328</v>
      </c>
      <c r="C216" s="5">
        <v>131</v>
      </c>
      <c r="D216" s="6" t="s">
        <v>440</v>
      </c>
      <c r="E216" s="6" t="s">
        <v>19</v>
      </c>
      <c r="F216" s="37">
        <v>41740</v>
      </c>
      <c r="G216" s="25">
        <f>290+1789.41</f>
        <v>2079.41</v>
      </c>
      <c r="H216" s="18"/>
      <c r="I216" s="136"/>
      <c r="J216" s="18"/>
      <c r="K216" s="8"/>
      <c r="L216" s="18"/>
      <c r="M216" s="18"/>
      <c r="N216" s="18"/>
      <c r="O216" s="18"/>
      <c r="P216" s="18"/>
      <c r="Q216" s="18">
        <f t="shared" si="12"/>
        <v>2079.41</v>
      </c>
      <c r="R216" s="18">
        <f t="shared" si="13"/>
        <v>0</v>
      </c>
      <c r="S216" s="18">
        <f t="shared" si="14"/>
        <v>2079.41</v>
      </c>
    </row>
    <row r="217" spans="1:19" x14ac:dyDescent="0.25">
      <c r="A217" s="36">
        <v>83172</v>
      </c>
      <c r="B217" s="4" t="s">
        <v>441</v>
      </c>
      <c r="C217" s="5">
        <v>132</v>
      </c>
      <c r="D217" s="6" t="s">
        <v>442</v>
      </c>
      <c r="E217" s="6" t="s">
        <v>19</v>
      </c>
      <c r="F217" s="37">
        <v>41740</v>
      </c>
      <c r="G217" s="25">
        <f>1116+21.12</f>
        <v>1137.1199999999999</v>
      </c>
      <c r="H217" s="18"/>
      <c r="I217" s="136"/>
      <c r="J217" s="18"/>
      <c r="K217" s="8"/>
      <c r="L217" s="18"/>
      <c r="M217" s="18"/>
      <c r="N217" s="18"/>
      <c r="O217" s="18"/>
      <c r="P217" s="18"/>
      <c r="Q217" s="18">
        <f t="shared" si="12"/>
        <v>1137.1199999999999</v>
      </c>
      <c r="R217" s="18">
        <f t="shared" si="13"/>
        <v>0</v>
      </c>
      <c r="S217" s="18">
        <f t="shared" si="14"/>
        <v>1137.1199999999999</v>
      </c>
    </row>
    <row r="218" spans="1:19" x14ac:dyDescent="0.25">
      <c r="A218" s="36">
        <v>83172</v>
      </c>
      <c r="B218" s="4" t="s">
        <v>441</v>
      </c>
      <c r="C218" s="5">
        <v>132</v>
      </c>
      <c r="D218" s="6" t="s">
        <v>443</v>
      </c>
      <c r="E218" s="6" t="s">
        <v>19</v>
      </c>
      <c r="F218" s="37">
        <v>41740</v>
      </c>
      <c r="G218" s="25">
        <f>238+113</f>
        <v>351</v>
      </c>
      <c r="H218" s="18"/>
      <c r="I218" s="136"/>
      <c r="J218" s="18"/>
      <c r="K218" s="8"/>
      <c r="L218" s="18"/>
      <c r="M218" s="18"/>
      <c r="N218" s="18"/>
      <c r="O218" s="18"/>
      <c r="P218" s="18"/>
      <c r="Q218" s="18">
        <f t="shared" si="12"/>
        <v>351</v>
      </c>
      <c r="R218" s="18">
        <f t="shared" si="13"/>
        <v>0</v>
      </c>
      <c r="S218" s="18">
        <f t="shared" si="14"/>
        <v>351</v>
      </c>
    </row>
    <row r="219" spans="1:19" x14ac:dyDescent="0.25">
      <c r="A219" s="36">
        <v>77339</v>
      </c>
      <c r="B219" s="4" t="s">
        <v>444</v>
      </c>
      <c r="C219" s="5">
        <v>133</v>
      </c>
      <c r="D219" s="6" t="s">
        <v>445</v>
      </c>
      <c r="E219" s="6" t="s">
        <v>19</v>
      </c>
      <c r="F219" s="37">
        <v>41743</v>
      </c>
      <c r="G219" s="25">
        <f>98.16+41.3+5066.96+41.3+41.3+41.3+160.1+1958.3+41.3+41.3+41.3+41.3+113.12+1096.82</f>
        <v>8823.8600000000024</v>
      </c>
      <c r="H219" s="18"/>
      <c r="I219" s="137">
        <v>1500</v>
      </c>
      <c r="J219" s="18"/>
      <c r="K219" s="8"/>
      <c r="L219" s="18"/>
      <c r="M219" s="18"/>
      <c r="N219" s="18"/>
      <c r="O219" s="18"/>
      <c r="P219" s="18"/>
      <c r="Q219" s="18">
        <f t="shared" si="12"/>
        <v>10323.860000000002</v>
      </c>
      <c r="R219" s="18">
        <f t="shared" si="13"/>
        <v>0</v>
      </c>
      <c r="S219" s="18">
        <f t="shared" si="14"/>
        <v>10323.860000000002</v>
      </c>
    </row>
    <row r="220" spans="1:19" x14ac:dyDescent="0.25">
      <c r="A220" s="36">
        <v>78992</v>
      </c>
      <c r="B220" s="4" t="s">
        <v>446</v>
      </c>
      <c r="C220" s="5">
        <v>134</v>
      </c>
      <c r="D220" s="6" t="s">
        <v>447</v>
      </c>
      <c r="E220" s="6" t="s">
        <v>19</v>
      </c>
      <c r="F220" s="37">
        <v>41741</v>
      </c>
      <c r="G220" s="25">
        <f>145.96+456.3+128.03</f>
        <v>730.29</v>
      </c>
      <c r="H220" s="18"/>
      <c r="I220" s="136"/>
      <c r="J220" s="18"/>
      <c r="K220" s="8"/>
      <c r="L220" s="18"/>
      <c r="M220" s="18"/>
      <c r="N220" s="18"/>
      <c r="O220" s="18"/>
      <c r="P220" s="18"/>
      <c r="Q220" s="18">
        <f t="shared" si="12"/>
        <v>730.29</v>
      </c>
      <c r="R220" s="18">
        <f t="shared" si="13"/>
        <v>0</v>
      </c>
      <c r="S220" s="18">
        <f t="shared" si="14"/>
        <v>730.29</v>
      </c>
    </row>
    <row r="221" spans="1:19" x14ac:dyDescent="0.25">
      <c r="A221" s="36">
        <v>76995</v>
      </c>
      <c r="B221" s="4" t="s">
        <v>448</v>
      </c>
      <c r="C221" s="5">
        <v>135</v>
      </c>
      <c r="D221" s="10" t="s">
        <v>449</v>
      </c>
      <c r="E221" s="6" t="s">
        <v>19</v>
      </c>
      <c r="F221" s="37">
        <v>41679</v>
      </c>
      <c r="G221" s="25">
        <v>301.2</v>
      </c>
      <c r="H221" s="18"/>
      <c r="I221" s="136"/>
      <c r="J221" s="18"/>
      <c r="K221" s="8"/>
      <c r="L221" s="18"/>
      <c r="M221" s="18"/>
      <c r="N221" s="18"/>
      <c r="O221" s="18"/>
      <c r="P221" s="18"/>
      <c r="Q221" s="18">
        <f t="shared" si="12"/>
        <v>301.2</v>
      </c>
      <c r="R221" s="18">
        <f t="shared" si="13"/>
        <v>0</v>
      </c>
      <c r="S221" s="18">
        <f t="shared" si="14"/>
        <v>301.2</v>
      </c>
    </row>
    <row r="222" spans="1:19" x14ac:dyDescent="0.25">
      <c r="A222" s="36">
        <v>76526</v>
      </c>
      <c r="B222" s="4" t="s">
        <v>450</v>
      </c>
      <c r="C222" s="5">
        <v>136</v>
      </c>
      <c r="D222" s="6" t="s">
        <v>451</v>
      </c>
      <c r="E222" s="6" t="s">
        <v>19</v>
      </c>
      <c r="F222" s="37">
        <v>41681</v>
      </c>
      <c r="G222" s="25">
        <v>99</v>
      </c>
      <c r="H222" s="18"/>
      <c r="I222" s="136"/>
      <c r="J222" s="18"/>
      <c r="K222" s="8"/>
      <c r="L222" s="18"/>
      <c r="M222" s="18"/>
      <c r="N222" s="18"/>
      <c r="O222" s="18"/>
      <c r="P222" s="18"/>
      <c r="Q222" s="18">
        <f t="shared" si="12"/>
        <v>99</v>
      </c>
      <c r="R222" s="18">
        <f t="shared" si="13"/>
        <v>0</v>
      </c>
      <c r="S222" s="18">
        <f t="shared" si="14"/>
        <v>99</v>
      </c>
    </row>
    <row r="223" spans="1:19" x14ac:dyDescent="0.25">
      <c r="A223" s="36">
        <v>83435</v>
      </c>
      <c r="B223" s="4" t="s">
        <v>452</v>
      </c>
      <c r="C223" s="5">
        <v>137</v>
      </c>
      <c r="D223" s="6" t="s">
        <v>453</v>
      </c>
      <c r="E223" s="6" t="s">
        <v>19</v>
      </c>
      <c r="F223" s="37">
        <v>41679</v>
      </c>
      <c r="G223" s="25">
        <v>41.7</v>
      </c>
      <c r="H223" s="18"/>
      <c r="I223" s="136"/>
      <c r="J223" s="18"/>
      <c r="K223" s="8"/>
      <c r="L223" s="18"/>
      <c r="M223" s="18"/>
      <c r="N223" s="18"/>
      <c r="O223" s="18"/>
      <c r="P223" s="18"/>
      <c r="Q223" s="18">
        <f t="shared" si="12"/>
        <v>41.7</v>
      </c>
      <c r="R223" s="18">
        <f t="shared" si="13"/>
        <v>0</v>
      </c>
      <c r="S223" s="18">
        <f t="shared" si="14"/>
        <v>41.7</v>
      </c>
    </row>
    <row r="224" spans="1:19" x14ac:dyDescent="0.25">
      <c r="A224" s="36">
        <v>83435</v>
      </c>
      <c r="B224" s="4" t="s">
        <v>452</v>
      </c>
      <c r="C224" s="5">
        <v>137</v>
      </c>
      <c r="D224" s="6" t="s">
        <v>454</v>
      </c>
      <c r="E224" s="6" t="s">
        <v>19</v>
      </c>
      <c r="F224" s="37">
        <v>41679</v>
      </c>
      <c r="G224" s="25">
        <v>49.7</v>
      </c>
      <c r="H224" s="18"/>
      <c r="I224" s="136"/>
      <c r="J224" s="18"/>
      <c r="K224" s="8"/>
      <c r="L224" s="18"/>
      <c r="M224" s="18"/>
      <c r="N224" s="18"/>
      <c r="O224" s="18"/>
      <c r="P224" s="18"/>
      <c r="Q224" s="18">
        <f t="shared" si="12"/>
        <v>49.7</v>
      </c>
      <c r="R224" s="18">
        <f t="shared" si="13"/>
        <v>0</v>
      </c>
      <c r="S224" s="18">
        <f t="shared" si="14"/>
        <v>49.7</v>
      </c>
    </row>
    <row r="225" spans="1:19" x14ac:dyDescent="0.25">
      <c r="A225" s="36">
        <v>83435</v>
      </c>
      <c r="B225" s="4" t="s">
        <v>452</v>
      </c>
      <c r="C225" s="5">
        <v>137</v>
      </c>
      <c r="D225" s="6" t="s">
        <v>455</v>
      </c>
      <c r="E225" s="6" t="s">
        <v>19</v>
      </c>
      <c r="F225" s="37">
        <v>41679</v>
      </c>
      <c r="G225" s="25">
        <v>110</v>
      </c>
      <c r="H225" s="18"/>
      <c r="I225" s="136"/>
      <c r="J225" s="18"/>
      <c r="K225" s="8"/>
      <c r="L225" s="18"/>
      <c r="M225" s="18"/>
      <c r="N225" s="18"/>
      <c r="O225" s="18"/>
      <c r="P225" s="18"/>
      <c r="Q225" s="18">
        <f t="shared" si="12"/>
        <v>110</v>
      </c>
      <c r="R225" s="18">
        <f t="shared" si="13"/>
        <v>0</v>
      </c>
      <c r="S225" s="18">
        <f t="shared" si="14"/>
        <v>110</v>
      </c>
    </row>
    <row r="226" spans="1:19" x14ac:dyDescent="0.25">
      <c r="A226" s="36">
        <v>83435</v>
      </c>
      <c r="B226" s="4" t="s">
        <v>452</v>
      </c>
      <c r="C226" s="5">
        <v>137</v>
      </c>
      <c r="D226" s="6" t="s">
        <v>456</v>
      </c>
      <c r="E226" s="6" t="s">
        <v>19</v>
      </c>
      <c r="F226" s="37">
        <v>41679</v>
      </c>
      <c r="G226" s="25">
        <v>40</v>
      </c>
      <c r="H226" s="18"/>
      <c r="I226" s="136"/>
      <c r="J226" s="18"/>
      <c r="K226" s="8"/>
      <c r="L226" s="18"/>
      <c r="M226" s="18"/>
      <c r="N226" s="18"/>
      <c r="O226" s="18"/>
      <c r="P226" s="18"/>
      <c r="Q226" s="18">
        <f t="shared" si="12"/>
        <v>40</v>
      </c>
      <c r="R226" s="18">
        <f t="shared" si="13"/>
        <v>0</v>
      </c>
      <c r="S226" s="18">
        <f t="shared" si="14"/>
        <v>40</v>
      </c>
    </row>
    <row r="227" spans="1:19" x14ac:dyDescent="0.25">
      <c r="A227" s="36">
        <v>83435</v>
      </c>
      <c r="B227" s="4" t="s">
        <v>452</v>
      </c>
      <c r="C227" s="5">
        <v>137</v>
      </c>
      <c r="D227" s="6" t="s">
        <v>4405</v>
      </c>
      <c r="E227" s="6" t="s">
        <v>19</v>
      </c>
      <c r="F227" s="37">
        <v>41679</v>
      </c>
      <c r="G227" s="25">
        <v>48.6</v>
      </c>
      <c r="H227" s="18"/>
      <c r="I227" s="136"/>
      <c r="J227" s="18"/>
      <c r="K227" s="8"/>
      <c r="L227" s="18"/>
      <c r="M227" s="18"/>
      <c r="N227" s="18"/>
      <c r="O227" s="18"/>
      <c r="P227" s="18"/>
      <c r="Q227" s="18">
        <f t="shared" si="12"/>
        <v>48.6</v>
      </c>
      <c r="R227" s="18">
        <f t="shared" si="13"/>
        <v>0</v>
      </c>
      <c r="S227" s="18">
        <f t="shared" si="14"/>
        <v>48.6</v>
      </c>
    </row>
    <row r="228" spans="1:19" x14ac:dyDescent="0.25">
      <c r="A228" s="36">
        <v>86263</v>
      </c>
      <c r="B228" s="4" t="s">
        <v>457</v>
      </c>
      <c r="C228" s="5">
        <v>138</v>
      </c>
      <c r="D228" s="6" t="s">
        <v>458</v>
      </c>
      <c r="E228" s="6" t="s">
        <v>19</v>
      </c>
      <c r="F228" s="37">
        <v>41683</v>
      </c>
      <c r="G228" s="25">
        <v>131</v>
      </c>
      <c r="H228" s="18"/>
      <c r="I228" s="136"/>
      <c r="J228" s="18"/>
      <c r="K228" s="8"/>
      <c r="L228" s="18"/>
      <c r="M228" s="18"/>
      <c r="N228" s="18"/>
      <c r="O228" s="18"/>
      <c r="P228" s="18"/>
      <c r="Q228" s="18">
        <f t="shared" si="12"/>
        <v>131</v>
      </c>
      <c r="R228" s="18">
        <f t="shared" si="13"/>
        <v>0</v>
      </c>
      <c r="S228" s="18">
        <f t="shared" si="14"/>
        <v>131</v>
      </c>
    </row>
    <row r="229" spans="1:19" x14ac:dyDescent="0.25">
      <c r="A229" s="36">
        <v>88415</v>
      </c>
      <c r="B229" s="4" t="s">
        <v>459</v>
      </c>
      <c r="C229" s="5">
        <v>139</v>
      </c>
      <c r="D229" s="6" t="s">
        <v>460</v>
      </c>
      <c r="E229" s="6" t="s">
        <v>19</v>
      </c>
      <c r="F229" s="37">
        <v>41719</v>
      </c>
      <c r="G229" s="25">
        <v>124.07</v>
      </c>
      <c r="H229" s="18"/>
      <c r="I229" s="136"/>
      <c r="J229" s="18"/>
      <c r="K229" s="8"/>
      <c r="L229" s="18"/>
      <c r="M229" s="18"/>
      <c r="N229" s="18"/>
      <c r="O229" s="18"/>
      <c r="P229" s="18"/>
      <c r="Q229" s="18">
        <f t="shared" si="12"/>
        <v>124.07</v>
      </c>
      <c r="R229" s="18">
        <f t="shared" si="13"/>
        <v>0</v>
      </c>
      <c r="S229" s="18">
        <f t="shared" si="14"/>
        <v>124.07</v>
      </c>
    </row>
    <row r="230" spans="1:19" x14ac:dyDescent="0.25">
      <c r="A230" s="36">
        <v>919916</v>
      </c>
      <c r="B230" s="4" t="s">
        <v>461</v>
      </c>
      <c r="C230" s="5">
        <v>140</v>
      </c>
      <c r="D230" s="6" t="s">
        <v>4021</v>
      </c>
      <c r="E230" s="6" t="s">
        <v>19</v>
      </c>
      <c r="F230" s="37">
        <v>41745</v>
      </c>
      <c r="G230" s="25">
        <f>98.64+481.79</f>
        <v>580.43000000000006</v>
      </c>
      <c r="H230" s="18"/>
      <c r="I230" s="136"/>
      <c r="J230" s="18"/>
      <c r="K230" s="8"/>
      <c r="L230" s="18"/>
      <c r="M230" s="18"/>
      <c r="N230" s="18"/>
      <c r="O230" s="18"/>
      <c r="P230" s="18"/>
      <c r="Q230" s="18">
        <f t="shared" si="12"/>
        <v>580.43000000000006</v>
      </c>
      <c r="R230" s="18">
        <f t="shared" si="13"/>
        <v>0</v>
      </c>
      <c r="S230" s="18">
        <f t="shared" si="14"/>
        <v>580.43000000000006</v>
      </c>
    </row>
    <row r="231" spans="1:19" x14ac:dyDescent="0.25">
      <c r="A231" s="36">
        <v>96053</v>
      </c>
      <c r="B231" s="4" t="s">
        <v>462</v>
      </c>
      <c r="C231" s="5">
        <v>141</v>
      </c>
      <c r="D231" s="6" t="s">
        <v>463</v>
      </c>
      <c r="E231" s="6" t="s">
        <v>19</v>
      </c>
      <c r="F231" s="37">
        <v>41744</v>
      </c>
      <c r="G231" s="25">
        <v>133.72</v>
      </c>
      <c r="H231" s="18"/>
      <c r="I231" s="136"/>
      <c r="J231" s="18"/>
      <c r="K231" s="8"/>
      <c r="L231" s="18"/>
      <c r="M231" s="18"/>
      <c r="N231" s="18"/>
      <c r="O231" s="18"/>
      <c r="P231" s="18"/>
      <c r="Q231" s="18">
        <f t="shared" si="12"/>
        <v>133.72</v>
      </c>
      <c r="R231" s="18">
        <f t="shared" si="13"/>
        <v>0</v>
      </c>
      <c r="S231" s="18">
        <f t="shared" si="14"/>
        <v>133.72</v>
      </c>
    </row>
    <row r="232" spans="1:19" x14ac:dyDescent="0.25">
      <c r="A232" s="36">
        <v>88136</v>
      </c>
      <c r="B232" s="4" t="s">
        <v>464</v>
      </c>
      <c r="C232" s="5">
        <v>142</v>
      </c>
      <c r="D232" s="6" t="s">
        <v>465</v>
      </c>
      <c r="E232" s="6" t="s">
        <v>19</v>
      </c>
      <c r="F232" s="37">
        <v>41745</v>
      </c>
      <c r="G232" s="9">
        <f>90.32+116.02+311</f>
        <v>517.33999999999992</v>
      </c>
      <c r="H232" s="18"/>
      <c r="I232" s="137">
        <v>750</v>
      </c>
      <c r="J232" s="18"/>
      <c r="K232" s="8"/>
      <c r="L232" s="18"/>
      <c r="M232" s="18"/>
      <c r="N232" s="18"/>
      <c r="O232" s="18"/>
      <c r="P232" s="18"/>
      <c r="Q232" s="18">
        <f t="shared" si="12"/>
        <v>1267.3399999999999</v>
      </c>
      <c r="R232" s="18">
        <f t="shared" si="13"/>
        <v>0</v>
      </c>
      <c r="S232" s="18">
        <f t="shared" si="14"/>
        <v>1267.3399999999999</v>
      </c>
    </row>
    <row r="233" spans="1:19" x14ac:dyDescent="0.25">
      <c r="A233" s="36">
        <v>88136</v>
      </c>
      <c r="B233" s="4" t="s">
        <v>464</v>
      </c>
      <c r="C233" s="5">
        <v>142</v>
      </c>
      <c r="D233" s="6" t="s">
        <v>466</v>
      </c>
      <c r="E233" s="6" t="s">
        <v>19</v>
      </c>
      <c r="F233" s="37">
        <v>41745</v>
      </c>
      <c r="G233" s="25">
        <f>40</f>
        <v>40</v>
      </c>
      <c r="H233" s="18"/>
      <c r="I233" s="136"/>
      <c r="J233" s="18"/>
      <c r="K233" s="8"/>
      <c r="L233" s="18"/>
      <c r="M233" s="18"/>
      <c r="N233" s="18"/>
      <c r="O233" s="18"/>
      <c r="P233" s="18"/>
      <c r="Q233" s="18">
        <f t="shared" si="12"/>
        <v>40</v>
      </c>
      <c r="R233" s="18">
        <f t="shared" si="13"/>
        <v>0</v>
      </c>
      <c r="S233" s="18">
        <f t="shared" si="14"/>
        <v>40</v>
      </c>
    </row>
    <row r="234" spans="1:19" x14ac:dyDescent="0.25">
      <c r="A234" s="36">
        <v>90336</v>
      </c>
      <c r="B234" s="4" t="s">
        <v>467</v>
      </c>
      <c r="C234" s="5">
        <v>143</v>
      </c>
      <c r="D234" s="6" t="s">
        <v>468</v>
      </c>
      <c r="E234" s="6" t="s">
        <v>19</v>
      </c>
      <c r="F234" s="37">
        <v>41745</v>
      </c>
      <c r="G234" s="25">
        <f>212.59+234.37+208.85+1375.8+47.2+144.31+2320.47+47.2+260+47.2+185+47.2</f>
        <v>5130.1899999999996</v>
      </c>
      <c r="H234" s="18"/>
      <c r="I234" s="136"/>
      <c r="J234" s="18"/>
      <c r="K234" s="8"/>
      <c r="L234" s="18"/>
      <c r="M234" s="18"/>
      <c r="N234" s="18"/>
      <c r="O234" s="18"/>
      <c r="P234" s="18"/>
      <c r="Q234" s="18">
        <f t="shared" si="12"/>
        <v>5130.1899999999996</v>
      </c>
      <c r="R234" s="18">
        <f t="shared" si="13"/>
        <v>0</v>
      </c>
      <c r="S234" s="18">
        <f t="shared" si="14"/>
        <v>5130.1899999999996</v>
      </c>
    </row>
    <row r="235" spans="1:19" x14ac:dyDescent="0.25">
      <c r="A235" s="36">
        <v>86282</v>
      </c>
      <c r="B235" s="4" t="s">
        <v>469</v>
      </c>
      <c r="C235" s="5">
        <v>144</v>
      </c>
      <c r="D235" s="6" t="s">
        <v>3716</v>
      </c>
      <c r="E235" s="6" t="s">
        <v>19</v>
      </c>
      <c r="F235" s="37">
        <v>41749</v>
      </c>
      <c r="G235" s="25">
        <f>174.64</f>
        <v>174.64</v>
      </c>
      <c r="H235" s="18"/>
      <c r="I235" s="136"/>
      <c r="J235" s="18"/>
      <c r="K235" s="8"/>
      <c r="L235" s="18"/>
      <c r="M235" s="18"/>
      <c r="N235" s="18"/>
      <c r="O235" s="18"/>
      <c r="P235" s="18"/>
      <c r="Q235" s="18">
        <f t="shared" si="12"/>
        <v>174.64</v>
      </c>
      <c r="R235" s="18">
        <f t="shared" si="13"/>
        <v>0</v>
      </c>
      <c r="S235" s="18">
        <f t="shared" si="14"/>
        <v>174.64</v>
      </c>
    </row>
    <row r="236" spans="1:19" x14ac:dyDescent="0.25">
      <c r="A236" s="36">
        <v>96603</v>
      </c>
      <c r="B236" s="4" t="s">
        <v>470</v>
      </c>
      <c r="C236" s="5">
        <v>145</v>
      </c>
      <c r="D236" s="6" t="s">
        <v>471</v>
      </c>
      <c r="E236" s="6" t="s">
        <v>19</v>
      </c>
      <c r="F236" s="37">
        <v>41750</v>
      </c>
      <c r="G236" s="25">
        <f>80</f>
        <v>80</v>
      </c>
      <c r="H236" s="18"/>
      <c r="I236" s="136"/>
      <c r="J236" s="18"/>
      <c r="K236" s="8"/>
      <c r="L236" s="18"/>
      <c r="M236" s="18"/>
      <c r="N236" s="18"/>
      <c r="O236" s="18"/>
      <c r="P236" s="18"/>
      <c r="Q236" s="18">
        <f t="shared" si="12"/>
        <v>80</v>
      </c>
      <c r="R236" s="18">
        <f t="shared" si="13"/>
        <v>0</v>
      </c>
      <c r="S236" s="18">
        <f t="shared" si="14"/>
        <v>80</v>
      </c>
    </row>
    <row r="237" spans="1:19" x14ac:dyDescent="0.25">
      <c r="A237" s="36">
        <v>78192</v>
      </c>
      <c r="B237" s="4" t="s">
        <v>472</v>
      </c>
      <c r="C237" s="5">
        <v>146</v>
      </c>
      <c r="D237" s="6" t="s">
        <v>473</v>
      </c>
      <c r="E237" s="6" t="s">
        <v>19</v>
      </c>
      <c r="F237" s="37">
        <v>41752</v>
      </c>
      <c r="G237" s="25">
        <f>620+105.02+3328.6+77.56+77.56+132.51+232+47.2+77.56+47.2+77.56+77.56+1749.86+210.26+53.1</f>
        <v>6913.550000000002</v>
      </c>
      <c r="H237" s="18"/>
      <c r="I237" s="136">
        <v>3000</v>
      </c>
      <c r="J237" s="18"/>
      <c r="K237" s="8"/>
      <c r="L237" s="18"/>
      <c r="M237" s="18"/>
      <c r="N237" s="18"/>
      <c r="O237" s="18"/>
      <c r="P237" s="18"/>
      <c r="Q237" s="18">
        <f t="shared" si="12"/>
        <v>9913.5500000000029</v>
      </c>
      <c r="R237" s="18">
        <f t="shared" si="13"/>
        <v>0</v>
      </c>
      <c r="S237" s="18">
        <f t="shared" si="14"/>
        <v>9913.5500000000029</v>
      </c>
    </row>
    <row r="238" spans="1:19" x14ac:dyDescent="0.25">
      <c r="A238" s="36">
        <v>77681</v>
      </c>
      <c r="B238" s="4" t="s">
        <v>474</v>
      </c>
      <c r="C238" s="5">
        <v>147</v>
      </c>
      <c r="D238" s="6" t="s">
        <v>475</v>
      </c>
      <c r="E238" s="6" t="s">
        <v>19</v>
      </c>
      <c r="F238" s="37">
        <v>41683</v>
      </c>
      <c r="G238" s="25">
        <v>86</v>
      </c>
      <c r="H238" s="18"/>
      <c r="I238" s="136"/>
      <c r="J238" s="18"/>
      <c r="K238" s="8"/>
      <c r="L238" s="18"/>
      <c r="M238" s="18"/>
      <c r="N238" s="18"/>
      <c r="O238" s="18"/>
      <c r="P238" s="18"/>
      <c r="Q238" s="18">
        <f t="shared" si="12"/>
        <v>86</v>
      </c>
      <c r="R238" s="18">
        <f t="shared" si="13"/>
        <v>0</v>
      </c>
      <c r="S238" s="18">
        <f t="shared" si="14"/>
        <v>86</v>
      </c>
    </row>
    <row r="239" spans="1:19" x14ac:dyDescent="0.25">
      <c r="A239" s="36">
        <v>96319</v>
      </c>
      <c r="B239" s="4" t="s">
        <v>476</v>
      </c>
      <c r="C239" s="5">
        <v>148</v>
      </c>
      <c r="D239" s="6" t="s">
        <v>477</v>
      </c>
      <c r="E239" s="6" t="s">
        <v>19</v>
      </c>
      <c r="F239" s="37">
        <v>41749</v>
      </c>
      <c r="G239" s="25">
        <f>151.4+131.46+167.12+151.4+48</f>
        <v>649.38</v>
      </c>
      <c r="H239" s="18"/>
      <c r="I239" s="136">
        <v>650</v>
      </c>
      <c r="J239" s="18"/>
      <c r="K239" s="8"/>
      <c r="L239" s="18"/>
      <c r="M239" s="18"/>
      <c r="N239" s="18"/>
      <c r="O239" s="18"/>
      <c r="P239" s="18"/>
      <c r="Q239" s="18">
        <f t="shared" si="12"/>
        <v>1299.3800000000001</v>
      </c>
      <c r="R239" s="18">
        <f t="shared" si="13"/>
        <v>0</v>
      </c>
      <c r="S239" s="18">
        <f t="shared" si="14"/>
        <v>1299.3800000000001</v>
      </c>
    </row>
    <row r="240" spans="1:19" x14ac:dyDescent="0.25">
      <c r="A240" s="36">
        <v>96319</v>
      </c>
      <c r="B240" s="4" t="s">
        <v>476</v>
      </c>
      <c r="C240" s="5">
        <v>148</v>
      </c>
      <c r="D240" s="6" t="s">
        <v>478</v>
      </c>
      <c r="E240" s="6" t="s">
        <v>19</v>
      </c>
      <c r="F240" s="37">
        <v>41749</v>
      </c>
      <c r="G240" s="25">
        <f>131.46+160.04+40</f>
        <v>331.5</v>
      </c>
      <c r="H240" s="18"/>
      <c r="I240" s="136"/>
      <c r="J240" s="18"/>
      <c r="K240" s="8"/>
      <c r="L240" s="18"/>
      <c r="M240" s="18"/>
      <c r="N240" s="18"/>
      <c r="O240" s="18"/>
      <c r="P240" s="18"/>
      <c r="Q240" s="18">
        <f t="shared" si="12"/>
        <v>331.5</v>
      </c>
      <c r="R240" s="18">
        <f t="shared" si="13"/>
        <v>0</v>
      </c>
      <c r="S240" s="18">
        <f t="shared" si="14"/>
        <v>331.5</v>
      </c>
    </row>
    <row r="241" spans="1:19" x14ac:dyDescent="0.25">
      <c r="A241" s="36">
        <v>96319</v>
      </c>
      <c r="B241" s="4" t="s">
        <v>476</v>
      </c>
      <c r="C241" s="5">
        <v>148</v>
      </c>
      <c r="D241" s="6" t="s">
        <v>3267</v>
      </c>
      <c r="E241" s="6" t="s">
        <v>19</v>
      </c>
      <c r="F241" s="37">
        <v>41749</v>
      </c>
      <c r="G241" s="25">
        <f>126.57+131.46+165.48+171.91+48+41.3+171.5</f>
        <v>856.21999999999991</v>
      </c>
      <c r="H241" s="18"/>
      <c r="I241" s="136">
        <v>1500</v>
      </c>
      <c r="J241" s="18"/>
      <c r="K241" s="8"/>
      <c r="L241" s="18"/>
      <c r="M241" s="18"/>
      <c r="N241" s="18"/>
      <c r="O241" s="18"/>
      <c r="P241" s="18"/>
      <c r="Q241" s="18">
        <f t="shared" si="12"/>
        <v>2356.2199999999998</v>
      </c>
      <c r="R241" s="18">
        <f t="shared" si="13"/>
        <v>0</v>
      </c>
      <c r="S241" s="18">
        <f t="shared" si="14"/>
        <v>2356.2199999999998</v>
      </c>
    </row>
    <row r="242" spans="1:19" x14ac:dyDescent="0.25">
      <c r="A242" s="36">
        <v>96319</v>
      </c>
      <c r="B242" s="4" t="s">
        <v>476</v>
      </c>
      <c r="C242" s="5">
        <v>148</v>
      </c>
      <c r="D242" s="6" t="s">
        <v>479</v>
      </c>
      <c r="E242" s="6" t="s">
        <v>19</v>
      </c>
      <c r="F242" s="37">
        <v>41749</v>
      </c>
      <c r="G242" s="25">
        <v>1797.57</v>
      </c>
      <c r="H242" s="18"/>
      <c r="I242" s="136"/>
      <c r="J242" s="18"/>
      <c r="K242" s="8"/>
      <c r="L242" s="18"/>
      <c r="M242" s="18"/>
      <c r="N242" s="18"/>
      <c r="O242" s="18"/>
      <c r="P242" s="18"/>
      <c r="Q242" s="18">
        <f t="shared" si="12"/>
        <v>1797.57</v>
      </c>
      <c r="R242" s="18">
        <f t="shared" si="13"/>
        <v>0</v>
      </c>
      <c r="S242" s="18">
        <f t="shared" si="14"/>
        <v>1797.57</v>
      </c>
    </row>
    <row r="243" spans="1:19" x14ac:dyDescent="0.25">
      <c r="A243" s="36">
        <v>87379</v>
      </c>
      <c r="B243" s="4" t="s">
        <v>480</v>
      </c>
      <c r="C243" s="5">
        <v>149</v>
      </c>
      <c r="D243" s="6" t="s">
        <v>481</v>
      </c>
      <c r="E243" s="6" t="s">
        <v>19</v>
      </c>
      <c r="F243" s="37">
        <v>41753</v>
      </c>
      <c r="G243" s="25">
        <f>159.01+185.84+90.46+7773.44+61.12+887.56+86.5+41.3+41.3+166.37+200.35+195.56+335+335+133.73+199.34+335+144.1+168.34+159.63+165.2+335+335+218.29+335+194.35+183.92+224.7+41.3+193.81+147.23+88.14+178.31+153.53</f>
        <v>14492.73</v>
      </c>
      <c r="H243" s="18"/>
      <c r="I243" s="136">
        <v>3800</v>
      </c>
      <c r="J243" s="18"/>
      <c r="K243" s="8"/>
      <c r="L243" s="18"/>
      <c r="M243" s="18"/>
      <c r="N243" s="18"/>
      <c r="O243" s="18"/>
      <c r="P243" s="18"/>
      <c r="Q243" s="18">
        <f t="shared" si="12"/>
        <v>18292.73</v>
      </c>
      <c r="R243" s="18">
        <f t="shared" si="13"/>
        <v>0</v>
      </c>
      <c r="S243" s="18">
        <f t="shared" si="14"/>
        <v>18292.73</v>
      </c>
    </row>
    <row r="244" spans="1:19" x14ac:dyDescent="0.25">
      <c r="A244" s="36">
        <v>87379</v>
      </c>
      <c r="B244" s="4" t="s">
        <v>480</v>
      </c>
      <c r="C244" s="5">
        <v>149</v>
      </c>
      <c r="D244" s="6" t="s">
        <v>482</v>
      </c>
      <c r="E244" s="6" t="s">
        <v>19</v>
      </c>
      <c r="F244" s="37">
        <v>41753</v>
      </c>
      <c r="G244" s="25">
        <f>70.92+154.26</f>
        <v>225.18</v>
      </c>
      <c r="H244" s="18"/>
      <c r="I244" s="136"/>
      <c r="J244" s="18"/>
      <c r="K244" s="8"/>
      <c r="L244" s="18"/>
      <c r="M244" s="18"/>
      <c r="N244" s="18"/>
      <c r="O244" s="18"/>
      <c r="P244" s="18"/>
      <c r="Q244" s="18">
        <f t="shared" si="12"/>
        <v>225.18</v>
      </c>
      <c r="R244" s="18">
        <f t="shared" si="13"/>
        <v>0</v>
      </c>
      <c r="S244" s="18">
        <f t="shared" si="14"/>
        <v>225.18</v>
      </c>
    </row>
    <row r="245" spans="1:19" x14ac:dyDescent="0.25">
      <c r="A245" s="36">
        <v>87379</v>
      </c>
      <c r="B245" s="4" t="s">
        <v>480</v>
      </c>
      <c r="C245" s="5">
        <v>149</v>
      </c>
      <c r="D245" s="6" t="s">
        <v>483</v>
      </c>
      <c r="E245" s="6" t="s">
        <v>19</v>
      </c>
      <c r="F245" s="37">
        <v>41753</v>
      </c>
      <c r="G245" s="25">
        <v>41.3</v>
      </c>
      <c r="H245" s="18"/>
      <c r="I245" s="136"/>
      <c r="J245" s="18"/>
      <c r="K245" s="8"/>
      <c r="L245" s="18"/>
      <c r="M245" s="18"/>
      <c r="N245" s="18"/>
      <c r="O245" s="18"/>
      <c r="P245" s="18"/>
      <c r="Q245" s="18">
        <f t="shared" si="12"/>
        <v>41.3</v>
      </c>
      <c r="R245" s="18">
        <f t="shared" si="13"/>
        <v>0</v>
      </c>
      <c r="S245" s="18">
        <f t="shared" si="14"/>
        <v>41.3</v>
      </c>
    </row>
    <row r="246" spans="1:19" x14ac:dyDescent="0.25">
      <c r="A246" s="36">
        <v>84899</v>
      </c>
      <c r="B246" s="4" t="s">
        <v>484</v>
      </c>
      <c r="C246" s="5">
        <v>150</v>
      </c>
      <c r="D246" s="6" t="s">
        <v>485</v>
      </c>
      <c r="E246" s="6" t="s">
        <v>19</v>
      </c>
      <c r="F246" s="37">
        <v>41748</v>
      </c>
      <c r="G246" s="25">
        <f>240+114.6+71.8</f>
        <v>426.40000000000003</v>
      </c>
      <c r="H246" s="18"/>
      <c r="I246" s="136"/>
      <c r="J246" s="18"/>
      <c r="K246" s="8"/>
      <c r="L246" s="18"/>
      <c r="M246" s="18"/>
      <c r="N246" s="18"/>
      <c r="O246" s="18"/>
      <c r="P246" s="18"/>
      <c r="Q246" s="18">
        <f t="shared" si="12"/>
        <v>426.40000000000003</v>
      </c>
      <c r="R246" s="18">
        <f t="shared" si="13"/>
        <v>0</v>
      </c>
      <c r="S246" s="18">
        <f t="shared" si="14"/>
        <v>426.40000000000003</v>
      </c>
    </row>
    <row r="247" spans="1:19" x14ac:dyDescent="0.25">
      <c r="A247" s="36">
        <v>87177</v>
      </c>
      <c r="B247" s="4" t="s">
        <v>486</v>
      </c>
      <c r="C247" s="5">
        <v>151</v>
      </c>
      <c r="D247" s="6" t="s">
        <v>487</v>
      </c>
      <c r="E247" s="6" t="s">
        <v>19</v>
      </c>
      <c r="F247" s="37">
        <v>41699</v>
      </c>
      <c r="G247" s="25">
        <f>50+75</f>
        <v>125</v>
      </c>
      <c r="H247" s="18"/>
      <c r="I247" s="136"/>
      <c r="J247" s="18"/>
      <c r="K247" s="8"/>
      <c r="L247" s="18"/>
      <c r="M247" s="18"/>
      <c r="N247" s="18"/>
      <c r="O247" s="18"/>
      <c r="P247" s="18"/>
      <c r="Q247" s="18">
        <f t="shared" si="12"/>
        <v>125</v>
      </c>
      <c r="R247" s="18">
        <f t="shared" si="13"/>
        <v>0</v>
      </c>
      <c r="S247" s="18">
        <f t="shared" si="14"/>
        <v>125</v>
      </c>
    </row>
    <row r="248" spans="1:19" x14ac:dyDescent="0.25">
      <c r="A248" s="36">
        <v>79683</v>
      </c>
      <c r="B248" s="4" t="s">
        <v>488</v>
      </c>
      <c r="C248" s="5">
        <v>152</v>
      </c>
      <c r="D248" s="6" t="s">
        <v>489</v>
      </c>
      <c r="E248" s="6" t="s">
        <v>19</v>
      </c>
      <c r="F248" s="37">
        <v>41736</v>
      </c>
      <c r="G248" s="25">
        <v>231.78</v>
      </c>
      <c r="H248" s="18"/>
      <c r="I248" s="136"/>
      <c r="J248" s="18"/>
      <c r="K248" s="8"/>
      <c r="L248" s="18"/>
      <c r="M248" s="18"/>
      <c r="N248" s="18"/>
      <c r="O248" s="18"/>
      <c r="P248" s="18"/>
      <c r="Q248" s="18">
        <f t="shared" si="12"/>
        <v>231.78</v>
      </c>
      <c r="R248" s="18">
        <f t="shared" si="13"/>
        <v>0</v>
      </c>
      <c r="S248" s="18">
        <f t="shared" si="14"/>
        <v>231.78</v>
      </c>
    </row>
    <row r="249" spans="1:19" x14ac:dyDescent="0.25">
      <c r="A249" s="36">
        <v>77484</v>
      </c>
      <c r="B249" s="4" t="s">
        <v>490</v>
      </c>
      <c r="C249" s="5">
        <v>153</v>
      </c>
      <c r="D249" s="6" t="s">
        <v>491</v>
      </c>
      <c r="E249" s="6" t="s">
        <v>19</v>
      </c>
      <c r="F249" s="37">
        <v>41755</v>
      </c>
      <c r="G249" s="25">
        <f>290+55.08+91.5+47.2+219+48.73+58.3+251.4+240+47.2+47.2+142.2+47.2+140+47.2+235.55+658+153+47.2+47.2+47.2+172.5+47.2</f>
        <v>3180.0599999999995</v>
      </c>
      <c r="H249" s="18"/>
      <c r="I249" s="138">
        <f>750+750+750+1550</f>
        <v>3800</v>
      </c>
      <c r="J249" s="18"/>
      <c r="K249" s="8"/>
      <c r="L249" s="18"/>
      <c r="M249" s="18"/>
      <c r="N249" s="18"/>
      <c r="O249" s="18"/>
      <c r="P249" s="18"/>
      <c r="Q249" s="18">
        <f t="shared" si="12"/>
        <v>6980.0599999999995</v>
      </c>
      <c r="R249" s="18">
        <f t="shared" si="13"/>
        <v>0</v>
      </c>
      <c r="S249" s="18">
        <f t="shared" si="14"/>
        <v>6980.0599999999995</v>
      </c>
    </row>
    <row r="250" spans="1:19" x14ac:dyDescent="0.25">
      <c r="A250" s="36">
        <v>79268</v>
      </c>
      <c r="B250" s="4" t="s">
        <v>492</v>
      </c>
      <c r="C250" s="5">
        <v>154</v>
      </c>
      <c r="D250" s="6" t="s">
        <v>493</v>
      </c>
      <c r="E250" s="6" t="s">
        <v>19</v>
      </c>
      <c r="F250" s="37">
        <v>41756</v>
      </c>
      <c r="G250" s="25">
        <f>480.08</f>
        <v>480.08</v>
      </c>
      <c r="H250" s="18"/>
      <c r="I250" s="136"/>
      <c r="J250" s="18"/>
      <c r="K250" s="8"/>
      <c r="L250" s="18"/>
      <c r="M250" s="18"/>
      <c r="N250" s="18"/>
      <c r="O250" s="18"/>
      <c r="P250" s="18"/>
      <c r="Q250" s="18">
        <f t="shared" si="12"/>
        <v>480.08</v>
      </c>
      <c r="R250" s="18">
        <f t="shared" si="13"/>
        <v>0</v>
      </c>
      <c r="S250" s="18">
        <f t="shared" si="14"/>
        <v>480.08</v>
      </c>
    </row>
    <row r="251" spans="1:19" x14ac:dyDescent="0.25">
      <c r="A251" s="36">
        <v>90018</v>
      </c>
      <c r="B251" s="4" t="s">
        <v>494</v>
      </c>
      <c r="C251" s="5">
        <v>155</v>
      </c>
      <c r="D251" s="6" t="s">
        <v>495</v>
      </c>
      <c r="E251" s="6" t="s">
        <v>19</v>
      </c>
      <c r="F251" s="37">
        <v>41756</v>
      </c>
      <c r="G251" s="25">
        <f>47.2</f>
        <v>47.2</v>
      </c>
      <c r="H251" s="18"/>
      <c r="I251" s="136"/>
      <c r="J251" s="18"/>
      <c r="K251" s="8"/>
      <c r="L251" s="18"/>
      <c r="M251" s="18"/>
      <c r="N251" s="18"/>
      <c r="O251" s="18"/>
      <c r="P251" s="18"/>
      <c r="Q251" s="18">
        <f t="shared" si="12"/>
        <v>47.2</v>
      </c>
      <c r="R251" s="18">
        <f t="shared" si="13"/>
        <v>0</v>
      </c>
      <c r="S251" s="18">
        <f t="shared" si="14"/>
        <v>47.2</v>
      </c>
    </row>
    <row r="252" spans="1:19" x14ac:dyDescent="0.25">
      <c r="A252" s="36">
        <v>90018</v>
      </c>
      <c r="B252" s="4" t="s">
        <v>494</v>
      </c>
      <c r="C252" s="5">
        <v>155</v>
      </c>
      <c r="D252" s="6" t="s">
        <v>496</v>
      </c>
      <c r="E252" s="6" t="s">
        <v>19</v>
      </c>
      <c r="F252" s="37">
        <v>41756</v>
      </c>
      <c r="G252" s="25">
        <f>97.23</f>
        <v>97.23</v>
      </c>
      <c r="H252" s="18"/>
      <c r="I252" s="136"/>
      <c r="J252" s="18"/>
      <c r="K252" s="8"/>
      <c r="L252" s="18"/>
      <c r="M252" s="18"/>
      <c r="N252" s="18"/>
      <c r="O252" s="18"/>
      <c r="P252" s="18"/>
      <c r="Q252" s="18">
        <f t="shared" si="12"/>
        <v>97.23</v>
      </c>
      <c r="R252" s="18">
        <f t="shared" si="13"/>
        <v>0</v>
      </c>
      <c r="S252" s="18">
        <f t="shared" si="14"/>
        <v>97.23</v>
      </c>
    </row>
    <row r="253" spans="1:19" x14ac:dyDescent="0.25">
      <c r="A253" s="36">
        <v>84858</v>
      </c>
      <c r="B253" s="4" t="s">
        <v>497</v>
      </c>
      <c r="C253" s="5">
        <v>156</v>
      </c>
      <c r="D253" s="6" t="s">
        <v>498</v>
      </c>
      <c r="E253" s="6" t="s">
        <v>19</v>
      </c>
      <c r="F253" s="37">
        <v>41758</v>
      </c>
      <c r="G253" s="25">
        <f>80+142.28+47.2+2261.65+982.88</f>
        <v>3514.01</v>
      </c>
      <c r="H253" s="18"/>
      <c r="I253" s="136"/>
      <c r="J253" s="18"/>
      <c r="K253" s="8"/>
      <c r="L253" s="18"/>
      <c r="M253" s="18"/>
      <c r="N253" s="18"/>
      <c r="O253" s="18"/>
      <c r="P253" s="18"/>
      <c r="Q253" s="18">
        <f t="shared" si="12"/>
        <v>3514.01</v>
      </c>
      <c r="R253" s="18">
        <f t="shared" si="13"/>
        <v>0</v>
      </c>
      <c r="S253" s="18">
        <f t="shared" si="14"/>
        <v>3514.01</v>
      </c>
    </row>
    <row r="254" spans="1:19" x14ac:dyDescent="0.25">
      <c r="A254" s="36">
        <v>88195</v>
      </c>
      <c r="B254" s="4" t="s">
        <v>499</v>
      </c>
      <c r="C254" s="5">
        <v>157</v>
      </c>
      <c r="D254" s="6" t="s">
        <v>500</v>
      </c>
      <c r="E254" s="6" t="s">
        <v>19</v>
      </c>
      <c r="F254" s="37">
        <v>41758</v>
      </c>
      <c r="G254" s="25">
        <f>84.78</f>
        <v>84.78</v>
      </c>
      <c r="H254" s="18"/>
      <c r="I254" s="136"/>
      <c r="J254" s="18"/>
      <c r="K254" s="8"/>
      <c r="L254" s="18"/>
      <c r="M254" s="18"/>
      <c r="N254" s="18"/>
      <c r="O254" s="18"/>
      <c r="P254" s="18"/>
      <c r="Q254" s="18">
        <f t="shared" si="12"/>
        <v>84.78</v>
      </c>
      <c r="R254" s="18">
        <f t="shared" si="13"/>
        <v>0</v>
      </c>
      <c r="S254" s="18">
        <f t="shared" si="14"/>
        <v>84.78</v>
      </c>
    </row>
    <row r="255" spans="1:19" x14ac:dyDescent="0.25">
      <c r="A255" s="36">
        <v>87395</v>
      </c>
      <c r="B255" s="4" t="s">
        <v>501</v>
      </c>
      <c r="C255" s="5">
        <v>158</v>
      </c>
      <c r="D255" s="6" t="s">
        <v>502</v>
      </c>
      <c r="E255" s="6" t="s">
        <v>19</v>
      </c>
      <c r="F255" s="37">
        <v>41758</v>
      </c>
      <c r="G255" s="25">
        <f>934.64+116.9</f>
        <v>1051.54</v>
      </c>
      <c r="H255" s="18"/>
      <c r="I255" s="136"/>
      <c r="J255" s="18"/>
      <c r="K255" s="8"/>
      <c r="L255" s="18"/>
      <c r="M255" s="18"/>
      <c r="N255" s="18"/>
      <c r="O255" s="18"/>
      <c r="P255" s="18"/>
      <c r="Q255" s="18">
        <f t="shared" si="12"/>
        <v>1051.54</v>
      </c>
      <c r="R255" s="18">
        <f t="shared" si="13"/>
        <v>0</v>
      </c>
      <c r="S255" s="18">
        <f t="shared" si="14"/>
        <v>1051.54</v>
      </c>
    </row>
    <row r="256" spans="1:19" x14ac:dyDescent="0.25">
      <c r="A256" s="36">
        <v>96461</v>
      </c>
      <c r="B256" s="4" t="s">
        <v>503</v>
      </c>
      <c r="C256" s="5">
        <v>159</v>
      </c>
      <c r="D256" s="10" t="s">
        <v>504</v>
      </c>
      <c r="E256" s="6" t="s">
        <v>19</v>
      </c>
      <c r="F256" s="37">
        <v>41759</v>
      </c>
      <c r="G256" s="25">
        <f>56.46+80.4+36.9+47.2+47.2+47.2+47.2+47.2+6043.59+279.5</f>
        <v>6732.85</v>
      </c>
      <c r="H256" s="18"/>
      <c r="I256" s="136">
        <f>1500</f>
        <v>1500</v>
      </c>
      <c r="J256" s="18"/>
      <c r="K256" s="8"/>
      <c r="L256" s="18"/>
      <c r="M256" s="18"/>
      <c r="N256" s="18"/>
      <c r="O256" s="18"/>
      <c r="P256" s="18"/>
      <c r="Q256" s="18">
        <f t="shared" si="12"/>
        <v>8232.85</v>
      </c>
      <c r="R256" s="18">
        <f t="shared" si="13"/>
        <v>0</v>
      </c>
      <c r="S256" s="18">
        <f t="shared" si="14"/>
        <v>8232.85</v>
      </c>
    </row>
    <row r="257" spans="1:19" x14ac:dyDescent="0.25">
      <c r="A257" s="36">
        <v>95127</v>
      </c>
      <c r="B257" s="4" t="s">
        <v>505</v>
      </c>
      <c r="C257" s="5">
        <v>160</v>
      </c>
      <c r="D257" s="6" t="s">
        <v>506</v>
      </c>
      <c r="E257" s="6" t="s">
        <v>19</v>
      </c>
      <c r="F257" s="37">
        <v>41707</v>
      </c>
      <c r="G257" s="25">
        <v>213</v>
      </c>
      <c r="H257" s="18"/>
      <c r="I257" s="136">
        <v>250</v>
      </c>
      <c r="J257" s="18"/>
      <c r="K257" s="8"/>
      <c r="L257" s="18"/>
      <c r="M257" s="18"/>
      <c r="N257" s="18"/>
      <c r="O257" s="18"/>
      <c r="P257" s="18"/>
      <c r="Q257" s="18">
        <f t="shared" si="12"/>
        <v>463</v>
      </c>
      <c r="R257" s="18">
        <f t="shared" si="13"/>
        <v>0</v>
      </c>
      <c r="S257" s="18">
        <f t="shared" si="14"/>
        <v>463</v>
      </c>
    </row>
    <row r="258" spans="1:19" x14ac:dyDescent="0.25">
      <c r="A258" s="36">
        <v>88236</v>
      </c>
      <c r="B258" s="4" t="s">
        <v>507</v>
      </c>
      <c r="C258" s="5">
        <v>161</v>
      </c>
      <c r="D258" s="6" t="s">
        <v>508</v>
      </c>
      <c r="E258" s="6" t="s">
        <v>19</v>
      </c>
      <c r="F258" s="40">
        <v>41674</v>
      </c>
      <c r="G258" s="25">
        <v>118.5</v>
      </c>
      <c r="H258" s="18"/>
      <c r="I258" s="136"/>
      <c r="J258" s="18"/>
      <c r="K258" s="8"/>
      <c r="L258" s="18"/>
      <c r="M258" s="18"/>
      <c r="N258" s="18"/>
      <c r="O258" s="18"/>
      <c r="P258" s="18"/>
      <c r="Q258" s="18">
        <f t="shared" si="12"/>
        <v>118.5</v>
      </c>
      <c r="R258" s="18">
        <f t="shared" si="13"/>
        <v>0</v>
      </c>
      <c r="S258" s="18">
        <f t="shared" si="14"/>
        <v>118.5</v>
      </c>
    </row>
    <row r="259" spans="1:19" x14ac:dyDescent="0.25">
      <c r="A259" s="41">
        <v>89479</v>
      </c>
      <c r="B259" s="42" t="s">
        <v>509</v>
      </c>
      <c r="C259" s="5">
        <v>162</v>
      </c>
      <c r="D259" s="43" t="s">
        <v>510</v>
      </c>
      <c r="E259" s="6" t="s">
        <v>19</v>
      </c>
      <c r="F259" s="40">
        <v>41701</v>
      </c>
      <c r="G259" s="25">
        <v>233.9</v>
      </c>
      <c r="H259" s="18"/>
      <c r="I259" s="136"/>
      <c r="J259" s="18"/>
      <c r="K259" s="8"/>
      <c r="L259" s="18"/>
      <c r="M259" s="18"/>
      <c r="N259" s="18"/>
      <c r="O259" s="18"/>
      <c r="P259" s="18"/>
      <c r="Q259" s="18">
        <f t="shared" si="12"/>
        <v>233.9</v>
      </c>
      <c r="R259" s="18">
        <f t="shared" si="13"/>
        <v>0</v>
      </c>
      <c r="S259" s="18">
        <f t="shared" si="14"/>
        <v>233.9</v>
      </c>
    </row>
    <row r="260" spans="1:19" x14ac:dyDescent="0.25">
      <c r="A260" s="41">
        <v>91337</v>
      </c>
      <c r="B260" s="42" t="s">
        <v>511</v>
      </c>
      <c r="C260" s="5">
        <v>163</v>
      </c>
      <c r="D260" s="43" t="s">
        <v>512</v>
      </c>
      <c r="E260" s="6" t="s">
        <v>19</v>
      </c>
      <c r="F260" s="40">
        <v>41699</v>
      </c>
      <c r="G260" s="25">
        <v>51.9</v>
      </c>
      <c r="H260" s="18"/>
      <c r="I260" s="136"/>
      <c r="J260" s="18"/>
      <c r="K260" s="8"/>
      <c r="L260" s="18"/>
      <c r="M260" s="18"/>
      <c r="N260" s="18"/>
      <c r="O260" s="18"/>
      <c r="P260" s="18"/>
      <c r="Q260" s="18">
        <f t="shared" si="12"/>
        <v>51.9</v>
      </c>
      <c r="R260" s="18">
        <f t="shared" si="13"/>
        <v>0</v>
      </c>
      <c r="S260" s="18">
        <f t="shared" si="14"/>
        <v>51.9</v>
      </c>
    </row>
    <row r="261" spans="1:19" x14ac:dyDescent="0.25">
      <c r="A261" s="41">
        <v>95437</v>
      </c>
      <c r="B261" s="42" t="s">
        <v>513</v>
      </c>
      <c r="C261" s="42">
        <v>164</v>
      </c>
      <c r="D261" s="43" t="s">
        <v>514</v>
      </c>
      <c r="E261" s="6" t="s">
        <v>19</v>
      </c>
      <c r="F261" s="40">
        <v>41721</v>
      </c>
      <c r="G261" s="25">
        <v>71.650000000000006</v>
      </c>
      <c r="H261" s="18"/>
      <c r="I261" s="136"/>
      <c r="J261" s="18"/>
      <c r="K261" s="8"/>
      <c r="L261" s="18"/>
      <c r="M261" s="18"/>
      <c r="N261" s="18"/>
      <c r="O261" s="18"/>
      <c r="P261" s="18"/>
      <c r="Q261" s="18">
        <f t="shared" si="12"/>
        <v>71.650000000000006</v>
      </c>
      <c r="R261" s="18">
        <f t="shared" si="13"/>
        <v>0</v>
      </c>
      <c r="S261" s="18">
        <f t="shared" si="14"/>
        <v>71.650000000000006</v>
      </c>
    </row>
    <row r="262" spans="1:19" x14ac:dyDescent="0.25">
      <c r="A262" s="41">
        <v>89175</v>
      </c>
      <c r="B262" s="42" t="s">
        <v>515</v>
      </c>
      <c r="C262" s="42">
        <v>165</v>
      </c>
      <c r="D262" s="43" t="s">
        <v>516</v>
      </c>
      <c r="E262" s="6" t="s">
        <v>19</v>
      </c>
      <c r="F262" s="40">
        <v>41760</v>
      </c>
      <c r="G262" s="25">
        <f>86.02</f>
        <v>86.02</v>
      </c>
      <c r="H262" s="18"/>
      <c r="I262" s="136"/>
      <c r="J262" s="18"/>
      <c r="K262" s="8"/>
      <c r="L262" s="18"/>
      <c r="M262" s="18"/>
      <c r="N262" s="18"/>
      <c r="O262" s="18"/>
      <c r="P262" s="18"/>
      <c r="Q262" s="18">
        <f t="shared" si="12"/>
        <v>86.02</v>
      </c>
      <c r="R262" s="18">
        <f t="shared" si="13"/>
        <v>0</v>
      </c>
      <c r="S262" s="18">
        <f t="shared" si="14"/>
        <v>86.02</v>
      </c>
    </row>
    <row r="263" spans="1:19" x14ac:dyDescent="0.25">
      <c r="A263" s="41">
        <v>87140</v>
      </c>
      <c r="B263" s="42" t="s">
        <v>517</v>
      </c>
      <c r="C263" s="42">
        <v>166</v>
      </c>
      <c r="D263" s="43" t="s">
        <v>518</v>
      </c>
      <c r="E263" s="6" t="s">
        <v>19</v>
      </c>
      <c r="F263" s="40">
        <v>41761</v>
      </c>
      <c r="G263" s="25">
        <f>483.95</f>
        <v>483.95</v>
      </c>
      <c r="H263" s="18"/>
      <c r="I263" s="136"/>
      <c r="J263" s="18"/>
      <c r="K263" s="8"/>
      <c r="L263" s="18"/>
      <c r="M263" s="18"/>
      <c r="N263" s="18"/>
      <c r="O263" s="18"/>
      <c r="P263" s="18"/>
      <c r="Q263" s="18">
        <f t="shared" si="12"/>
        <v>483.95</v>
      </c>
      <c r="R263" s="18">
        <f t="shared" si="13"/>
        <v>0</v>
      </c>
      <c r="S263" s="18">
        <f t="shared" si="14"/>
        <v>483.95</v>
      </c>
    </row>
    <row r="264" spans="1:19" x14ac:dyDescent="0.25">
      <c r="A264" s="41">
        <v>87140</v>
      </c>
      <c r="B264" s="42" t="s">
        <v>517</v>
      </c>
      <c r="C264" s="42">
        <v>166</v>
      </c>
      <c r="D264" s="24" t="s">
        <v>615</v>
      </c>
      <c r="E264" s="6" t="s">
        <v>19</v>
      </c>
      <c r="F264" s="40">
        <v>41761</v>
      </c>
      <c r="G264" s="29">
        <v>333.34</v>
      </c>
      <c r="H264" s="18"/>
      <c r="I264" s="136"/>
      <c r="J264" s="18"/>
      <c r="K264" s="8"/>
      <c r="L264" s="18"/>
      <c r="M264" s="18"/>
      <c r="N264" s="18"/>
      <c r="O264" s="18"/>
      <c r="P264" s="18"/>
      <c r="Q264" s="18">
        <f t="shared" si="12"/>
        <v>333.34</v>
      </c>
      <c r="R264" s="18">
        <f t="shared" si="13"/>
        <v>0</v>
      </c>
      <c r="S264" s="18">
        <f t="shared" si="14"/>
        <v>333.34</v>
      </c>
    </row>
    <row r="265" spans="1:19" x14ac:dyDescent="0.25">
      <c r="A265" s="41">
        <v>87140</v>
      </c>
      <c r="B265" s="42" t="s">
        <v>517</v>
      </c>
      <c r="C265" s="42">
        <v>166</v>
      </c>
      <c r="D265" s="24" t="s">
        <v>616</v>
      </c>
      <c r="E265" s="6" t="s">
        <v>19</v>
      </c>
      <c r="F265" s="40">
        <v>41761</v>
      </c>
      <c r="G265" s="29">
        <v>128.93</v>
      </c>
      <c r="H265" s="18"/>
      <c r="I265" s="136"/>
      <c r="J265" s="18"/>
      <c r="K265" s="8"/>
      <c r="L265" s="18"/>
      <c r="M265" s="18"/>
      <c r="N265" s="18"/>
      <c r="O265" s="18"/>
      <c r="P265" s="18"/>
      <c r="Q265" s="18">
        <f t="shared" si="12"/>
        <v>128.93</v>
      </c>
      <c r="R265" s="18">
        <f t="shared" si="13"/>
        <v>0</v>
      </c>
      <c r="S265" s="18">
        <f t="shared" si="14"/>
        <v>128.93</v>
      </c>
    </row>
    <row r="266" spans="1:19" x14ac:dyDescent="0.25">
      <c r="A266" s="41">
        <v>87140</v>
      </c>
      <c r="B266" s="42" t="s">
        <v>517</v>
      </c>
      <c r="C266" s="42">
        <v>166</v>
      </c>
      <c r="D266" s="24" t="s">
        <v>617</v>
      </c>
      <c r="E266" s="6" t="s">
        <v>19</v>
      </c>
      <c r="F266" s="40">
        <v>41761</v>
      </c>
      <c r="G266" s="29">
        <v>218.6</v>
      </c>
      <c r="H266" s="18"/>
      <c r="I266" s="136"/>
      <c r="J266" s="18"/>
      <c r="K266" s="8"/>
      <c r="L266" s="18"/>
      <c r="M266" s="18"/>
      <c r="N266" s="18"/>
      <c r="O266" s="18"/>
      <c r="P266" s="18"/>
      <c r="Q266" s="18">
        <f t="shared" si="12"/>
        <v>218.6</v>
      </c>
      <c r="R266" s="18">
        <f t="shared" si="13"/>
        <v>0</v>
      </c>
      <c r="S266" s="18">
        <f t="shared" si="14"/>
        <v>218.6</v>
      </c>
    </row>
    <row r="267" spans="1:19" x14ac:dyDescent="0.25">
      <c r="A267" s="41">
        <v>98324</v>
      </c>
      <c r="B267" s="42" t="s">
        <v>519</v>
      </c>
      <c r="C267" s="42">
        <v>167</v>
      </c>
      <c r="D267" s="43" t="s">
        <v>520</v>
      </c>
      <c r="E267" s="6" t="s">
        <v>19</v>
      </c>
      <c r="F267" s="40">
        <v>41764</v>
      </c>
      <c r="G267" s="25">
        <f>25+176.29+94.4+43.97+19.5+26.4+240+558+47.2+213.53+47.2+46.53+166.5+215+161.5</f>
        <v>2081.02</v>
      </c>
      <c r="H267" s="18"/>
      <c r="I267" s="136">
        <f>1500+750</f>
        <v>2250</v>
      </c>
      <c r="J267" s="18"/>
      <c r="K267" s="8"/>
      <c r="L267" s="18"/>
      <c r="M267" s="18"/>
      <c r="N267" s="18"/>
      <c r="O267" s="18"/>
      <c r="P267" s="18"/>
      <c r="Q267" s="18">
        <f t="shared" si="12"/>
        <v>4331.0200000000004</v>
      </c>
      <c r="R267" s="18">
        <f t="shared" si="13"/>
        <v>0</v>
      </c>
      <c r="S267" s="18">
        <f t="shared" si="14"/>
        <v>4331.0200000000004</v>
      </c>
    </row>
    <row r="268" spans="1:19" x14ac:dyDescent="0.25">
      <c r="A268" s="41">
        <v>98324</v>
      </c>
      <c r="B268" s="42" t="s">
        <v>519</v>
      </c>
      <c r="C268" s="42">
        <v>167</v>
      </c>
      <c r="D268" s="43" t="s">
        <v>3387</v>
      </c>
      <c r="E268" s="6" t="s">
        <v>19</v>
      </c>
      <c r="F268" s="40">
        <v>41764</v>
      </c>
      <c r="G268" s="25">
        <f>197</f>
        <v>197</v>
      </c>
      <c r="H268" s="18"/>
      <c r="I268" s="136"/>
      <c r="J268" s="18"/>
      <c r="K268" s="8"/>
      <c r="L268" s="18"/>
      <c r="M268" s="18"/>
      <c r="N268" s="18"/>
      <c r="O268" s="18"/>
      <c r="P268" s="18"/>
      <c r="Q268" s="18">
        <f t="shared" si="12"/>
        <v>197</v>
      </c>
      <c r="R268" s="18">
        <f t="shared" si="13"/>
        <v>0</v>
      </c>
      <c r="S268" s="18">
        <f t="shared" si="14"/>
        <v>197</v>
      </c>
    </row>
    <row r="269" spans="1:19" x14ac:dyDescent="0.25">
      <c r="A269" s="41">
        <v>98324</v>
      </c>
      <c r="B269" s="42" t="s">
        <v>519</v>
      </c>
      <c r="C269" s="42">
        <v>167</v>
      </c>
      <c r="D269" s="43" t="s">
        <v>3388</v>
      </c>
      <c r="E269" s="6" t="s">
        <v>19</v>
      </c>
      <c r="F269" s="40">
        <v>41764</v>
      </c>
      <c r="G269" s="25">
        <f>105</f>
        <v>105</v>
      </c>
      <c r="H269" s="18"/>
      <c r="I269" s="136"/>
      <c r="J269" s="18"/>
      <c r="K269" s="8"/>
      <c r="L269" s="18"/>
      <c r="M269" s="18"/>
      <c r="N269" s="18"/>
      <c r="O269" s="18"/>
      <c r="P269" s="18"/>
      <c r="Q269" s="18">
        <f t="shared" si="12"/>
        <v>105</v>
      </c>
      <c r="R269" s="18">
        <f t="shared" si="13"/>
        <v>0</v>
      </c>
      <c r="S269" s="18">
        <f t="shared" si="14"/>
        <v>105</v>
      </c>
    </row>
    <row r="270" spans="1:19" x14ac:dyDescent="0.25">
      <c r="A270" s="41">
        <v>98324</v>
      </c>
      <c r="B270" s="42" t="s">
        <v>519</v>
      </c>
      <c r="C270" s="42">
        <v>167</v>
      </c>
      <c r="D270" s="43" t="s">
        <v>3389</v>
      </c>
      <c r="E270" s="6" t="s">
        <v>19</v>
      </c>
      <c r="F270" s="40">
        <v>41764</v>
      </c>
      <c r="G270" s="25">
        <f>190</f>
        <v>190</v>
      </c>
      <c r="H270" s="18"/>
      <c r="I270" s="136"/>
      <c r="J270" s="18"/>
      <c r="K270" s="8"/>
      <c r="L270" s="18"/>
      <c r="M270" s="18"/>
      <c r="N270" s="18"/>
      <c r="O270" s="18"/>
      <c r="P270" s="18"/>
      <c r="Q270" s="18">
        <f t="shared" si="12"/>
        <v>190</v>
      </c>
      <c r="R270" s="18">
        <f t="shared" si="13"/>
        <v>0</v>
      </c>
      <c r="S270" s="18">
        <f t="shared" si="14"/>
        <v>190</v>
      </c>
    </row>
    <row r="271" spans="1:19" x14ac:dyDescent="0.25">
      <c r="A271" s="41">
        <v>98111</v>
      </c>
      <c r="B271" s="42" t="s">
        <v>521</v>
      </c>
      <c r="C271" s="42">
        <v>168</v>
      </c>
      <c r="D271" s="43" t="s">
        <v>522</v>
      </c>
      <c r="E271" s="6" t="s">
        <v>19</v>
      </c>
      <c r="F271" s="40">
        <v>41766</v>
      </c>
      <c r="G271" s="25">
        <v>88.39</v>
      </c>
      <c r="H271" s="18"/>
      <c r="I271" s="136"/>
      <c r="J271" s="18"/>
      <c r="K271" s="8"/>
      <c r="L271" s="18"/>
      <c r="M271" s="18"/>
      <c r="N271" s="18"/>
      <c r="O271" s="18"/>
      <c r="P271" s="18"/>
      <c r="Q271" s="18">
        <f t="shared" si="12"/>
        <v>88.39</v>
      </c>
      <c r="R271" s="18">
        <f t="shared" si="13"/>
        <v>0</v>
      </c>
      <c r="S271" s="18">
        <f t="shared" si="14"/>
        <v>88.39</v>
      </c>
    </row>
    <row r="272" spans="1:19" x14ac:dyDescent="0.25">
      <c r="A272" s="41">
        <v>96072</v>
      </c>
      <c r="B272" s="42" t="s">
        <v>523</v>
      </c>
      <c r="C272" s="42">
        <v>169</v>
      </c>
      <c r="D272" s="43" t="s">
        <v>524</v>
      </c>
      <c r="E272" s="6" t="s">
        <v>19</v>
      </c>
      <c r="F272" s="40">
        <v>41760</v>
      </c>
      <c r="G272" s="25">
        <f>47.2+9.2+210.08+658+47.2+283+171.2+47.2</f>
        <v>1473.0800000000002</v>
      </c>
      <c r="H272" s="18"/>
      <c r="I272" s="136">
        <v>750</v>
      </c>
      <c r="J272" s="18"/>
      <c r="K272" s="8"/>
      <c r="L272" s="18"/>
      <c r="M272" s="18"/>
      <c r="N272" s="18"/>
      <c r="O272" s="18"/>
      <c r="P272" s="18"/>
      <c r="Q272" s="18">
        <f t="shared" si="12"/>
        <v>2223.08</v>
      </c>
      <c r="R272" s="18">
        <f t="shared" si="13"/>
        <v>0</v>
      </c>
      <c r="S272" s="18">
        <f t="shared" si="14"/>
        <v>2223.08</v>
      </c>
    </row>
    <row r="273" spans="1:19" x14ac:dyDescent="0.25">
      <c r="A273" s="41">
        <v>96072</v>
      </c>
      <c r="B273" s="42" t="s">
        <v>523</v>
      </c>
      <c r="C273" s="42">
        <v>169</v>
      </c>
      <c r="D273" s="43" t="s">
        <v>525</v>
      </c>
      <c r="E273" s="6" t="s">
        <v>19</v>
      </c>
      <c r="F273" s="40">
        <v>41760</v>
      </c>
      <c r="G273" s="25">
        <f>135.62+17.72+23.99+47.2+23.99+47.2+40</f>
        <v>335.72</v>
      </c>
      <c r="H273" s="18"/>
      <c r="I273" s="136">
        <v>375</v>
      </c>
      <c r="J273" s="18"/>
      <c r="K273" s="8"/>
      <c r="L273" s="18"/>
      <c r="M273" s="18"/>
      <c r="N273" s="18"/>
      <c r="O273" s="18"/>
      <c r="P273" s="18"/>
      <c r="Q273" s="18">
        <f t="shared" ref="Q273:Q336" si="15">+G273+I273+K273+M273+O273</f>
        <v>710.72</v>
      </c>
      <c r="R273" s="18">
        <f t="shared" ref="R273:R336" si="16">+H273+J273+L273+N273+P273</f>
        <v>0</v>
      </c>
      <c r="S273" s="18">
        <f t="shared" ref="S273:S336" si="17">+Q273+R273</f>
        <v>710.72</v>
      </c>
    </row>
    <row r="274" spans="1:19" x14ac:dyDescent="0.25">
      <c r="A274" s="41">
        <v>96072</v>
      </c>
      <c r="B274" s="42" t="s">
        <v>523</v>
      </c>
      <c r="C274" s="42">
        <v>169</v>
      </c>
      <c r="D274" s="43" t="s">
        <v>526</v>
      </c>
      <c r="E274" s="6" t="s">
        <v>19</v>
      </c>
      <c r="F274" s="40">
        <v>41760</v>
      </c>
      <c r="G274" s="25">
        <f>47.2+17.58+75.41+139.6</f>
        <v>279.78999999999996</v>
      </c>
      <c r="H274" s="18"/>
      <c r="I274" s="136">
        <v>250</v>
      </c>
      <c r="J274" s="18"/>
      <c r="K274" s="8"/>
      <c r="L274" s="18"/>
      <c r="M274" s="18"/>
      <c r="N274" s="18"/>
      <c r="O274" s="18"/>
      <c r="P274" s="18"/>
      <c r="Q274" s="18">
        <f t="shared" si="15"/>
        <v>529.79</v>
      </c>
      <c r="R274" s="18">
        <f t="shared" si="16"/>
        <v>0</v>
      </c>
      <c r="S274" s="18">
        <f t="shared" si="17"/>
        <v>529.79</v>
      </c>
    </row>
    <row r="275" spans="1:19" x14ac:dyDescent="0.25">
      <c r="A275" s="41">
        <v>96072</v>
      </c>
      <c r="B275" s="42" t="s">
        <v>523</v>
      </c>
      <c r="C275" s="42">
        <v>169</v>
      </c>
      <c r="D275" s="43" t="s">
        <v>527</v>
      </c>
      <c r="E275" s="6" t="s">
        <v>19</v>
      </c>
      <c r="F275" s="40">
        <v>41760</v>
      </c>
      <c r="G275" s="25">
        <f>230.02+45.72+28.4+44.3+20.03+240+47.2+47.2+20.03+283+196.6</f>
        <v>1202.5</v>
      </c>
      <c r="H275" s="18"/>
      <c r="I275" s="136">
        <f>25*20</f>
        <v>500</v>
      </c>
      <c r="J275" s="18"/>
      <c r="K275" s="8"/>
      <c r="L275" s="18"/>
      <c r="M275" s="18"/>
      <c r="N275" s="18"/>
      <c r="O275" s="18"/>
      <c r="P275" s="18"/>
      <c r="Q275" s="18">
        <f t="shared" si="15"/>
        <v>1702.5</v>
      </c>
      <c r="R275" s="18">
        <f t="shared" si="16"/>
        <v>0</v>
      </c>
      <c r="S275" s="18">
        <f t="shared" si="17"/>
        <v>1702.5</v>
      </c>
    </row>
    <row r="276" spans="1:19" x14ac:dyDescent="0.25">
      <c r="A276" s="41">
        <v>96072</v>
      </c>
      <c r="B276" s="42" t="s">
        <v>523</v>
      </c>
      <c r="C276" s="42">
        <v>169</v>
      </c>
      <c r="D276" s="43" t="s">
        <v>528</v>
      </c>
      <c r="E276" s="6" t="s">
        <v>19</v>
      </c>
      <c r="F276" s="40">
        <v>41760</v>
      </c>
      <c r="G276" s="25">
        <f>47.2+20.03+40.8</f>
        <v>108.03</v>
      </c>
      <c r="H276" s="18"/>
      <c r="I276" s="136">
        <v>250</v>
      </c>
      <c r="J276" s="18"/>
      <c r="K276" s="8"/>
      <c r="L276" s="18"/>
      <c r="M276" s="18"/>
      <c r="N276" s="18"/>
      <c r="O276" s="18"/>
      <c r="P276" s="18"/>
      <c r="Q276" s="18">
        <f t="shared" si="15"/>
        <v>358.03</v>
      </c>
      <c r="R276" s="18">
        <f t="shared" si="16"/>
        <v>0</v>
      </c>
      <c r="S276" s="18">
        <f t="shared" si="17"/>
        <v>358.03</v>
      </c>
    </row>
    <row r="277" spans="1:19" x14ac:dyDescent="0.25">
      <c r="A277" s="41">
        <v>96072</v>
      </c>
      <c r="B277" s="42" t="s">
        <v>523</v>
      </c>
      <c r="C277" s="42">
        <v>169</v>
      </c>
      <c r="D277" s="43" t="s">
        <v>529</v>
      </c>
      <c r="E277" s="6" t="s">
        <v>19</v>
      </c>
      <c r="F277" s="40">
        <v>41760</v>
      </c>
      <c r="G277" s="25">
        <f>47.2+7.14+47.2+47.2+75</f>
        <v>223.74</v>
      </c>
      <c r="H277" s="18"/>
      <c r="I277" s="136">
        <f>25*12</f>
        <v>300</v>
      </c>
      <c r="J277" s="18"/>
      <c r="K277" s="8"/>
      <c r="L277" s="18"/>
      <c r="M277" s="18"/>
      <c r="N277" s="18"/>
      <c r="O277" s="18"/>
      <c r="P277" s="18"/>
      <c r="Q277" s="18">
        <f t="shared" si="15"/>
        <v>523.74</v>
      </c>
      <c r="R277" s="18">
        <f t="shared" si="16"/>
        <v>0</v>
      </c>
      <c r="S277" s="18">
        <f t="shared" si="17"/>
        <v>523.74</v>
      </c>
    </row>
    <row r="278" spans="1:19" x14ac:dyDescent="0.25">
      <c r="A278" s="41">
        <v>95395</v>
      </c>
      <c r="B278" s="42" t="s">
        <v>530</v>
      </c>
      <c r="C278" s="42">
        <v>170</v>
      </c>
      <c r="D278" s="43" t="s">
        <v>531</v>
      </c>
      <c r="E278" s="6" t="s">
        <v>19</v>
      </c>
      <c r="F278" s="40">
        <v>41769</v>
      </c>
      <c r="G278" s="25">
        <f>19.05+172.51+193.5</f>
        <v>385.06</v>
      </c>
      <c r="H278" s="18"/>
      <c r="I278" s="136"/>
      <c r="J278" s="18"/>
      <c r="K278" s="8"/>
      <c r="L278" s="18"/>
      <c r="M278" s="18"/>
      <c r="N278" s="18"/>
      <c r="O278" s="18"/>
      <c r="P278" s="18"/>
      <c r="Q278" s="18">
        <f t="shared" si="15"/>
        <v>385.06</v>
      </c>
      <c r="R278" s="18">
        <f t="shared" si="16"/>
        <v>0</v>
      </c>
      <c r="S278" s="18">
        <f t="shared" si="17"/>
        <v>385.06</v>
      </c>
    </row>
    <row r="279" spans="1:19" x14ac:dyDescent="0.25">
      <c r="A279" s="41">
        <v>89468</v>
      </c>
      <c r="B279" s="42" t="s">
        <v>532</v>
      </c>
      <c r="C279" s="42">
        <v>171</v>
      </c>
      <c r="D279" s="43" t="s">
        <v>533</v>
      </c>
      <c r="E279" s="6" t="s">
        <v>19</v>
      </c>
      <c r="F279" s="40">
        <v>41769</v>
      </c>
      <c r="G279" s="25">
        <f>173.03+142.99+285.48+549.48+41.3+74.9+108.78</f>
        <v>1375.96</v>
      </c>
      <c r="H279" s="18"/>
      <c r="I279" s="136"/>
      <c r="J279" s="18"/>
      <c r="K279" s="8"/>
      <c r="L279" s="18"/>
      <c r="M279" s="18"/>
      <c r="N279" s="18"/>
      <c r="O279" s="18"/>
      <c r="P279" s="18"/>
      <c r="Q279" s="18">
        <f t="shared" si="15"/>
        <v>1375.96</v>
      </c>
      <c r="R279" s="18">
        <f t="shared" si="16"/>
        <v>0</v>
      </c>
      <c r="S279" s="18">
        <f t="shared" si="17"/>
        <v>1375.96</v>
      </c>
    </row>
    <row r="280" spans="1:19" x14ac:dyDescent="0.25">
      <c r="A280" s="41">
        <v>86993</v>
      </c>
      <c r="B280" s="42" t="s">
        <v>534</v>
      </c>
      <c r="C280" s="42">
        <v>172</v>
      </c>
      <c r="D280" s="43" t="s">
        <v>535</v>
      </c>
      <c r="E280" s="6" t="s">
        <v>19</v>
      </c>
      <c r="F280" s="40">
        <v>41773</v>
      </c>
      <c r="G280" s="25">
        <f>240+144.64+47.2</f>
        <v>431.84</v>
      </c>
      <c r="H280" s="18"/>
      <c r="I280" s="136">
        <v>350</v>
      </c>
      <c r="J280" s="18"/>
      <c r="K280" s="8"/>
      <c r="L280" s="18"/>
      <c r="M280" s="18"/>
      <c r="N280" s="18"/>
      <c r="O280" s="18"/>
      <c r="P280" s="18"/>
      <c r="Q280" s="18">
        <f t="shared" si="15"/>
        <v>781.83999999999992</v>
      </c>
      <c r="R280" s="18">
        <f t="shared" si="16"/>
        <v>0</v>
      </c>
      <c r="S280" s="18">
        <f t="shared" si="17"/>
        <v>781.83999999999992</v>
      </c>
    </row>
    <row r="281" spans="1:19" x14ac:dyDescent="0.25">
      <c r="A281" s="41">
        <v>84962</v>
      </c>
      <c r="B281" s="42" t="s">
        <v>536</v>
      </c>
      <c r="C281" s="42">
        <v>173</v>
      </c>
      <c r="D281" s="43" t="s">
        <v>537</v>
      </c>
      <c r="E281" s="6" t="s">
        <v>19</v>
      </c>
      <c r="F281" s="40">
        <v>41761</v>
      </c>
      <c r="G281" s="25">
        <f>94.99</f>
        <v>94.99</v>
      </c>
      <c r="H281" s="18"/>
      <c r="I281" s="136"/>
      <c r="J281" s="18"/>
      <c r="K281" s="8"/>
      <c r="L281" s="18"/>
      <c r="M281" s="18"/>
      <c r="N281" s="18"/>
      <c r="O281" s="18"/>
      <c r="P281" s="18"/>
      <c r="Q281" s="18">
        <f t="shared" si="15"/>
        <v>94.99</v>
      </c>
      <c r="R281" s="18">
        <f t="shared" si="16"/>
        <v>0</v>
      </c>
      <c r="S281" s="18">
        <f t="shared" si="17"/>
        <v>94.99</v>
      </c>
    </row>
    <row r="282" spans="1:19" x14ac:dyDescent="0.25">
      <c r="A282" s="41">
        <v>77460</v>
      </c>
      <c r="B282" s="42" t="s">
        <v>538</v>
      </c>
      <c r="C282" s="42">
        <v>174</v>
      </c>
      <c r="D282" s="43" t="s">
        <v>539</v>
      </c>
      <c r="E282" s="6" t="s">
        <v>19</v>
      </c>
      <c r="F282" s="40">
        <v>41769</v>
      </c>
      <c r="G282" s="25">
        <f>94.4+69.73+193.46+240+1116+136.25+209.69+47.2+123.62+301.5+335+47.2+240+94.6+47.2+47.2+87.63+335</f>
        <v>3765.6799999999994</v>
      </c>
      <c r="H282" s="18"/>
      <c r="I282" s="136">
        <f>2250+1550</f>
        <v>3800</v>
      </c>
      <c r="J282" s="18"/>
      <c r="K282" s="8"/>
      <c r="L282" s="18"/>
      <c r="M282" s="18"/>
      <c r="N282" s="18"/>
      <c r="O282" s="18"/>
      <c r="P282" s="18"/>
      <c r="Q282" s="18">
        <f t="shared" si="15"/>
        <v>7565.6799999999994</v>
      </c>
      <c r="R282" s="18">
        <f t="shared" si="16"/>
        <v>0</v>
      </c>
      <c r="S282" s="18">
        <f t="shared" si="17"/>
        <v>7565.6799999999994</v>
      </c>
    </row>
    <row r="283" spans="1:19" x14ac:dyDescent="0.25">
      <c r="A283" s="41">
        <v>92624</v>
      </c>
      <c r="B283" s="42" t="s">
        <v>540</v>
      </c>
      <c r="C283" s="42">
        <v>175</v>
      </c>
      <c r="D283" s="43" t="s">
        <v>541</v>
      </c>
      <c r="E283" s="6" t="s">
        <v>19</v>
      </c>
      <c r="F283" s="40">
        <v>41773</v>
      </c>
      <c r="G283" s="25">
        <f>141.28+47.2+23.5+240+40</f>
        <v>491.98</v>
      </c>
      <c r="H283" s="18"/>
      <c r="I283" s="136"/>
      <c r="J283" s="18"/>
      <c r="K283" s="8"/>
      <c r="L283" s="18"/>
      <c r="M283" s="18"/>
      <c r="N283" s="18"/>
      <c r="O283" s="18"/>
      <c r="P283" s="18"/>
      <c r="Q283" s="18">
        <f t="shared" si="15"/>
        <v>491.98</v>
      </c>
      <c r="R283" s="18">
        <f t="shared" si="16"/>
        <v>0</v>
      </c>
      <c r="S283" s="18">
        <f t="shared" si="17"/>
        <v>491.98</v>
      </c>
    </row>
    <row r="284" spans="1:19" x14ac:dyDescent="0.25">
      <c r="A284" s="41">
        <v>87503</v>
      </c>
      <c r="B284" s="42" t="s">
        <v>542</v>
      </c>
      <c r="C284" s="42">
        <v>176</v>
      </c>
      <c r="D284" s="43" t="s">
        <v>543</v>
      </c>
      <c r="E284" s="6" t="s">
        <v>19</v>
      </c>
      <c r="F284" s="40">
        <v>41777</v>
      </c>
      <c r="G284" s="25">
        <f>238+390</f>
        <v>628</v>
      </c>
      <c r="H284" s="18"/>
      <c r="I284" s="136"/>
      <c r="J284" s="18"/>
      <c r="K284" s="8"/>
      <c r="L284" s="18"/>
      <c r="M284" s="18"/>
      <c r="N284" s="18"/>
      <c r="O284" s="18"/>
      <c r="P284" s="18"/>
      <c r="Q284" s="18">
        <f t="shared" si="15"/>
        <v>628</v>
      </c>
      <c r="R284" s="18">
        <f t="shared" si="16"/>
        <v>0</v>
      </c>
      <c r="S284" s="18">
        <f t="shared" si="17"/>
        <v>628</v>
      </c>
    </row>
    <row r="285" spans="1:19" x14ac:dyDescent="0.25">
      <c r="A285" s="41">
        <v>87503</v>
      </c>
      <c r="B285" s="42" t="s">
        <v>542</v>
      </c>
      <c r="C285" s="42">
        <v>176</v>
      </c>
      <c r="D285" s="43" t="s">
        <v>544</v>
      </c>
      <c r="E285" s="6" t="s">
        <v>19</v>
      </c>
      <c r="F285" s="40">
        <v>41777</v>
      </c>
      <c r="G285" s="25">
        <f>238+934.2</f>
        <v>1172.2</v>
      </c>
      <c r="H285" s="18"/>
      <c r="I285" s="136"/>
      <c r="J285" s="18"/>
      <c r="K285" s="8"/>
      <c r="L285" s="18"/>
      <c r="M285" s="18"/>
      <c r="N285" s="18"/>
      <c r="O285" s="18">
        <v>15200</v>
      </c>
      <c r="P285" s="18"/>
      <c r="Q285" s="18">
        <f t="shared" si="15"/>
        <v>16372.2</v>
      </c>
      <c r="R285" s="18">
        <f t="shared" si="16"/>
        <v>0</v>
      </c>
      <c r="S285" s="18">
        <f t="shared" si="17"/>
        <v>16372.2</v>
      </c>
    </row>
    <row r="286" spans="1:19" x14ac:dyDescent="0.25">
      <c r="A286" s="41">
        <v>87503</v>
      </c>
      <c r="B286" s="42" t="s">
        <v>542</v>
      </c>
      <c r="C286" s="42">
        <v>176</v>
      </c>
      <c r="D286" s="43" t="s">
        <v>6270</v>
      </c>
      <c r="E286" s="6" t="s">
        <v>19</v>
      </c>
      <c r="F286" s="40">
        <v>41777</v>
      </c>
      <c r="G286" s="25"/>
      <c r="H286" s="18"/>
      <c r="I286" s="136"/>
      <c r="J286" s="18"/>
      <c r="K286" s="8"/>
      <c r="L286" s="18"/>
      <c r="M286" s="18"/>
      <c r="N286" s="18"/>
      <c r="O286" s="18">
        <v>15200</v>
      </c>
      <c r="P286" s="18"/>
      <c r="Q286" s="18">
        <f t="shared" si="15"/>
        <v>15200</v>
      </c>
      <c r="R286" s="18">
        <f t="shared" si="16"/>
        <v>0</v>
      </c>
      <c r="S286" s="18">
        <f t="shared" si="17"/>
        <v>15200</v>
      </c>
    </row>
    <row r="287" spans="1:19" x14ac:dyDescent="0.25">
      <c r="A287" s="41">
        <v>87503</v>
      </c>
      <c r="B287" s="42" t="s">
        <v>542</v>
      </c>
      <c r="C287" s="42">
        <v>176</v>
      </c>
      <c r="D287" s="43" t="s">
        <v>545</v>
      </c>
      <c r="E287" s="6" t="s">
        <v>19</v>
      </c>
      <c r="F287" s="40">
        <v>41777</v>
      </c>
      <c r="G287" s="25">
        <f>746.1</f>
        <v>746.1</v>
      </c>
      <c r="H287" s="18"/>
      <c r="I287" s="136"/>
      <c r="J287" s="18"/>
      <c r="K287" s="8"/>
      <c r="L287" s="18"/>
      <c r="M287" s="18"/>
      <c r="N287" s="18"/>
      <c r="O287" s="18"/>
      <c r="P287" s="18"/>
      <c r="Q287" s="18">
        <f t="shared" si="15"/>
        <v>746.1</v>
      </c>
      <c r="R287" s="18">
        <f t="shared" si="16"/>
        <v>0</v>
      </c>
      <c r="S287" s="18">
        <f t="shared" si="17"/>
        <v>746.1</v>
      </c>
    </row>
    <row r="288" spans="1:19" x14ac:dyDescent="0.25">
      <c r="A288" s="41">
        <v>87503</v>
      </c>
      <c r="B288" s="42" t="s">
        <v>542</v>
      </c>
      <c r="C288" s="42">
        <v>176</v>
      </c>
      <c r="D288" s="43" t="s">
        <v>546</v>
      </c>
      <c r="E288" s="6" t="s">
        <v>19</v>
      </c>
      <c r="F288" s="40">
        <v>41777</v>
      </c>
      <c r="G288" s="25">
        <f>238+240+2007.06</f>
        <v>2485.06</v>
      </c>
      <c r="H288" s="18"/>
      <c r="I288" s="136"/>
      <c r="J288" s="18"/>
      <c r="K288" s="8"/>
      <c r="L288" s="18"/>
      <c r="M288" s="18"/>
      <c r="N288" s="18"/>
      <c r="O288" s="18"/>
      <c r="P288" s="18"/>
      <c r="Q288" s="18">
        <f t="shared" si="15"/>
        <v>2485.06</v>
      </c>
      <c r="R288" s="18">
        <f t="shared" si="16"/>
        <v>0</v>
      </c>
      <c r="S288" s="18">
        <f t="shared" si="17"/>
        <v>2485.06</v>
      </c>
    </row>
    <row r="289" spans="1:19" x14ac:dyDescent="0.25">
      <c r="A289" s="28">
        <v>88177</v>
      </c>
      <c r="B289" s="30" t="s">
        <v>547</v>
      </c>
      <c r="C289" s="30">
        <v>177</v>
      </c>
      <c r="D289" s="9" t="s">
        <v>548</v>
      </c>
      <c r="E289" s="6" t="s">
        <v>19</v>
      </c>
      <c r="F289" s="44">
        <v>41703</v>
      </c>
      <c r="G289" s="38">
        <v>299.02999999999997</v>
      </c>
      <c r="H289" s="18"/>
      <c r="I289" s="136"/>
      <c r="J289" s="18"/>
      <c r="K289" s="8"/>
      <c r="L289" s="18"/>
      <c r="M289" s="18"/>
      <c r="N289" s="18"/>
      <c r="O289" s="18"/>
      <c r="P289" s="18"/>
      <c r="Q289" s="18">
        <f t="shared" si="15"/>
        <v>299.02999999999997</v>
      </c>
      <c r="R289" s="18">
        <f t="shared" si="16"/>
        <v>0</v>
      </c>
      <c r="S289" s="18">
        <f t="shared" si="17"/>
        <v>299.02999999999997</v>
      </c>
    </row>
    <row r="290" spans="1:19" x14ac:dyDescent="0.25">
      <c r="A290" s="28">
        <v>83512</v>
      </c>
      <c r="B290" s="30" t="s">
        <v>549</v>
      </c>
      <c r="C290" s="30">
        <v>178</v>
      </c>
      <c r="D290" s="9" t="s">
        <v>550</v>
      </c>
      <c r="E290" s="9" t="s">
        <v>19</v>
      </c>
      <c r="F290" s="44">
        <v>41731</v>
      </c>
      <c r="G290" s="38">
        <v>431.63</v>
      </c>
      <c r="H290" s="18"/>
      <c r="I290" s="136"/>
      <c r="J290" s="18"/>
      <c r="K290" s="8"/>
      <c r="L290" s="18"/>
      <c r="M290" s="18"/>
      <c r="N290" s="18"/>
      <c r="O290" s="18"/>
      <c r="P290" s="18"/>
      <c r="Q290" s="18">
        <f t="shared" si="15"/>
        <v>431.63</v>
      </c>
      <c r="R290" s="18">
        <f t="shared" si="16"/>
        <v>0</v>
      </c>
      <c r="S290" s="18">
        <f t="shared" si="17"/>
        <v>431.63</v>
      </c>
    </row>
    <row r="291" spans="1:19" x14ac:dyDescent="0.25">
      <c r="A291" s="28">
        <v>76552</v>
      </c>
      <c r="B291" s="30" t="s">
        <v>551</v>
      </c>
      <c r="C291" s="30">
        <v>179</v>
      </c>
      <c r="D291" s="9" t="s">
        <v>552</v>
      </c>
      <c r="E291" s="9" t="s">
        <v>19</v>
      </c>
      <c r="F291" s="44">
        <v>41654</v>
      </c>
      <c r="G291" s="38">
        <v>233.4</v>
      </c>
      <c r="H291" s="18"/>
      <c r="I291" s="136"/>
      <c r="J291" s="18"/>
      <c r="K291" s="8"/>
      <c r="L291" s="18"/>
      <c r="M291" s="18"/>
      <c r="N291" s="18"/>
      <c r="O291" s="18"/>
      <c r="P291" s="18"/>
      <c r="Q291" s="18">
        <f t="shared" si="15"/>
        <v>233.4</v>
      </c>
      <c r="R291" s="18">
        <f t="shared" si="16"/>
        <v>0</v>
      </c>
      <c r="S291" s="18">
        <f t="shared" si="17"/>
        <v>233.4</v>
      </c>
    </row>
    <row r="292" spans="1:19" x14ac:dyDescent="0.25">
      <c r="A292" s="28">
        <v>77091</v>
      </c>
      <c r="B292" s="30" t="s">
        <v>553</v>
      </c>
      <c r="C292" s="30">
        <v>180</v>
      </c>
      <c r="D292" s="9" t="s">
        <v>554</v>
      </c>
      <c r="E292" s="9" t="s">
        <v>19</v>
      </c>
      <c r="F292" s="44">
        <v>41745</v>
      </c>
      <c r="G292" s="38">
        <v>41</v>
      </c>
      <c r="H292" s="18"/>
      <c r="I292" s="136"/>
      <c r="J292" s="18"/>
      <c r="K292" s="8"/>
      <c r="L292" s="18"/>
      <c r="M292" s="18"/>
      <c r="N292" s="18"/>
      <c r="O292" s="18"/>
      <c r="P292" s="18"/>
      <c r="Q292" s="18">
        <f t="shared" si="15"/>
        <v>41</v>
      </c>
      <c r="R292" s="18">
        <f t="shared" si="16"/>
        <v>0</v>
      </c>
      <c r="S292" s="18">
        <f t="shared" si="17"/>
        <v>41</v>
      </c>
    </row>
    <row r="293" spans="1:19" x14ac:dyDescent="0.25">
      <c r="A293" s="28">
        <v>76923</v>
      </c>
      <c r="B293" s="30" t="s">
        <v>555</v>
      </c>
      <c r="C293" s="30">
        <v>181</v>
      </c>
      <c r="D293" s="9" t="s">
        <v>556</v>
      </c>
      <c r="E293" s="9" t="s">
        <v>19</v>
      </c>
      <c r="F293" s="44">
        <v>41660</v>
      </c>
      <c r="G293" s="38">
        <v>49.7</v>
      </c>
      <c r="H293" s="18"/>
      <c r="I293" s="136"/>
      <c r="J293" s="18"/>
      <c r="K293" s="8"/>
      <c r="L293" s="18"/>
      <c r="M293" s="18"/>
      <c r="N293" s="18"/>
      <c r="O293" s="18"/>
      <c r="P293" s="18"/>
      <c r="Q293" s="18">
        <f t="shared" si="15"/>
        <v>49.7</v>
      </c>
      <c r="R293" s="18">
        <f t="shared" si="16"/>
        <v>0</v>
      </c>
      <c r="S293" s="18">
        <f t="shared" si="17"/>
        <v>49.7</v>
      </c>
    </row>
    <row r="294" spans="1:19" x14ac:dyDescent="0.25">
      <c r="A294" s="28">
        <v>95609</v>
      </c>
      <c r="B294" s="30" t="s">
        <v>557</v>
      </c>
      <c r="C294" s="30">
        <v>182</v>
      </c>
      <c r="D294" s="9" t="s">
        <v>558</v>
      </c>
      <c r="E294" s="9" t="s">
        <v>19</v>
      </c>
      <c r="F294" s="44">
        <v>41718</v>
      </c>
      <c r="G294" s="38">
        <v>98</v>
      </c>
      <c r="H294" s="18"/>
      <c r="I294" s="136"/>
      <c r="J294" s="18"/>
      <c r="K294" s="8"/>
      <c r="L294" s="18"/>
      <c r="M294" s="18"/>
      <c r="N294" s="18"/>
      <c r="O294" s="18"/>
      <c r="P294" s="18"/>
      <c r="Q294" s="18">
        <f t="shared" si="15"/>
        <v>98</v>
      </c>
      <c r="R294" s="18">
        <f t="shared" si="16"/>
        <v>0</v>
      </c>
      <c r="S294" s="18">
        <f t="shared" si="17"/>
        <v>98</v>
      </c>
    </row>
    <row r="295" spans="1:19" x14ac:dyDescent="0.25">
      <c r="A295" s="28">
        <v>98290</v>
      </c>
      <c r="B295" s="30" t="s">
        <v>559</v>
      </c>
      <c r="C295" s="30">
        <v>183</v>
      </c>
      <c r="D295" s="9" t="s">
        <v>560</v>
      </c>
      <c r="E295" s="9" t="s">
        <v>19</v>
      </c>
      <c r="F295" s="44">
        <v>41744</v>
      </c>
      <c r="G295" s="38">
        <f>143.82+234.9+41.3</f>
        <v>420.02000000000004</v>
      </c>
      <c r="H295" s="18"/>
      <c r="I295" s="136"/>
      <c r="J295" s="18"/>
      <c r="K295" s="8"/>
      <c r="L295" s="18"/>
      <c r="M295" s="18"/>
      <c r="N295" s="18"/>
      <c r="O295" s="18"/>
      <c r="P295" s="18"/>
      <c r="Q295" s="18">
        <f t="shared" si="15"/>
        <v>420.02000000000004</v>
      </c>
      <c r="R295" s="18">
        <f t="shared" si="16"/>
        <v>0</v>
      </c>
      <c r="S295" s="18">
        <f t="shared" si="17"/>
        <v>420.02000000000004</v>
      </c>
    </row>
    <row r="296" spans="1:19" x14ac:dyDescent="0.25">
      <c r="A296" s="28">
        <v>84263</v>
      </c>
      <c r="B296" s="30" t="s">
        <v>561</v>
      </c>
      <c r="C296" s="30">
        <v>184</v>
      </c>
      <c r="D296" s="9" t="s">
        <v>562</v>
      </c>
      <c r="E296" s="9" t="s">
        <v>19</v>
      </c>
      <c r="F296" s="44">
        <v>41764</v>
      </c>
      <c r="G296" s="38">
        <f>153.99</f>
        <v>153.99</v>
      </c>
      <c r="H296" s="18"/>
      <c r="I296" s="136"/>
      <c r="J296" s="18"/>
      <c r="K296" s="8"/>
      <c r="L296" s="18"/>
      <c r="M296" s="18"/>
      <c r="N296" s="18"/>
      <c r="O296" s="18"/>
      <c r="P296" s="18"/>
      <c r="Q296" s="18">
        <f t="shared" si="15"/>
        <v>153.99</v>
      </c>
      <c r="R296" s="18">
        <f t="shared" si="16"/>
        <v>0</v>
      </c>
      <c r="S296" s="18">
        <f t="shared" si="17"/>
        <v>153.99</v>
      </c>
    </row>
    <row r="297" spans="1:19" x14ac:dyDescent="0.25">
      <c r="A297" s="28">
        <v>89366</v>
      </c>
      <c r="B297" s="30" t="s">
        <v>563</v>
      </c>
      <c r="C297" s="30">
        <v>185</v>
      </c>
      <c r="D297" s="9" t="s">
        <v>564</v>
      </c>
      <c r="E297" s="9" t="s">
        <v>19</v>
      </c>
      <c r="F297" s="44">
        <v>41772</v>
      </c>
      <c r="G297" s="38">
        <f>170.63</f>
        <v>170.63</v>
      </c>
      <c r="H297" s="18"/>
      <c r="I297" s="136"/>
      <c r="J297" s="18"/>
      <c r="K297" s="8"/>
      <c r="L297" s="18"/>
      <c r="M297" s="18"/>
      <c r="N297" s="18"/>
      <c r="O297" s="18"/>
      <c r="P297" s="18"/>
      <c r="Q297" s="18">
        <f t="shared" si="15"/>
        <v>170.63</v>
      </c>
      <c r="R297" s="18">
        <f t="shared" si="16"/>
        <v>0</v>
      </c>
      <c r="S297" s="18">
        <f t="shared" si="17"/>
        <v>170.63</v>
      </c>
    </row>
    <row r="298" spans="1:19" x14ac:dyDescent="0.25">
      <c r="A298" s="28">
        <v>86577</v>
      </c>
      <c r="B298" s="30" t="s">
        <v>565</v>
      </c>
      <c r="C298" s="30">
        <v>186</v>
      </c>
      <c r="D298" s="9" t="s">
        <v>566</v>
      </c>
      <c r="E298" s="9" t="s">
        <v>19</v>
      </c>
      <c r="F298" s="44">
        <v>41771</v>
      </c>
      <c r="G298" s="38">
        <f>558+141.91+92.32+440.5</f>
        <v>1232.73</v>
      </c>
      <c r="H298" s="18"/>
      <c r="I298" s="136"/>
      <c r="J298" s="18"/>
      <c r="K298" s="8"/>
      <c r="L298" s="18"/>
      <c r="M298" s="18"/>
      <c r="N298" s="18"/>
      <c r="O298" s="18"/>
      <c r="P298" s="18"/>
      <c r="Q298" s="18">
        <f t="shared" si="15"/>
        <v>1232.73</v>
      </c>
      <c r="R298" s="18">
        <f t="shared" si="16"/>
        <v>0</v>
      </c>
      <c r="S298" s="18">
        <f t="shared" si="17"/>
        <v>1232.73</v>
      </c>
    </row>
    <row r="299" spans="1:19" x14ac:dyDescent="0.25">
      <c r="A299" s="28">
        <v>83206</v>
      </c>
      <c r="B299" s="30" t="s">
        <v>567</v>
      </c>
      <c r="C299" s="30">
        <v>187</v>
      </c>
      <c r="D299" s="9" t="s">
        <v>568</v>
      </c>
      <c r="E299" s="9" t="s">
        <v>19</v>
      </c>
      <c r="F299" s="44">
        <v>41776</v>
      </c>
      <c r="G299" s="38">
        <f>161.7</f>
        <v>161.69999999999999</v>
      </c>
      <c r="H299" s="18"/>
      <c r="I299" s="136"/>
      <c r="J299" s="18"/>
      <c r="K299" s="8"/>
      <c r="L299" s="18"/>
      <c r="M299" s="18"/>
      <c r="N299" s="18"/>
      <c r="O299" s="18"/>
      <c r="P299" s="18"/>
      <c r="Q299" s="18">
        <f t="shared" si="15"/>
        <v>161.69999999999999</v>
      </c>
      <c r="R299" s="18">
        <f t="shared" si="16"/>
        <v>0</v>
      </c>
      <c r="S299" s="18">
        <f t="shared" si="17"/>
        <v>161.69999999999999</v>
      </c>
    </row>
    <row r="300" spans="1:19" x14ac:dyDescent="0.25">
      <c r="A300" s="28">
        <v>79184</v>
      </c>
      <c r="B300" s="30" t="s">
        <v>569</v>
      </c>
      <c r="C300" s="30">
        <v>188</v>
      </c>
      <c r="D300" s="9" t="s">
        <v>618</v>
      </c>
      <c r="E300" s="9" t="s">
        <v>19</v>
      </c>
      <c r="F300" s="44">
        <v>41776</v>
      </c>
      <c r="G300" s="29">
        <v>412.09</v>
      </c>
      <c r="H300" s="18"/>
      <c r="I300" s="136"/>
      <c r="J300" s="18"/>
      <c r="K300" s="8"/>
      <c r="L300" s="18"/>
      <c r="M300" s="18"/>
      <c r="N300" s="18"/>
      <c r="O300" s="18"/>
      <c r="P300" s="18"/>
      <c r="Q300" s="18">
        <f t="shared" si="15"/>
        <v>412.09</v>
      </c>
      <c r="R300" s="18">
        <f t="shared" si="16"/>
        <v>0</v>
      </c>
      <c r="S300" s="18">
        <f t="shared" si="17"/>
        <v>412.09</v>
      </c>
    </row>
    <row r="301" spans="1:19" x14ac:dyDescent="0.25">
      <c r="A301" s="28">
        <v>79184</v>
      </c>
      <c r="B301" s="30" t="s">
        <v>569</v>
      </c>
      <c r="C301" s="30">
        <v>188</v>
      </c>
      <c r="D301" s="9" t="s">
        <v>570</v>
      </c>
      <c r="E301" s="9" t="s">
        <v>19</v>
      </c>
      <c r="F301" s="44">
        <v>41776</v>
      </c>
      <c r="G301" s="38">
        <f>32.86+1705.7+41.3+1167.38+41.3+1058.42+75.83+163.78+80.36+212.16</f>
        <v>4579.0899999999992</v>
      </c>
      <c r="H301" s="18"/>
      <c r="I301" s="136">
        <f>750*2</f>
        <v>1500</v>
      </c>
      <c r="J301" s="18"/>
      <c r="K301" s="8"/>
      <c r="L301" s="18"/>
      <c r="M301" s="18"/>
      <c r="N301" s="18"/>
      <c r="O301" s="18"/>
      <c r="P301" s="18"/>
      <c r="Q301" s="18">
        <f t="shared" si="15"/>
        <v>6079.0899999999992</v>
      </c>
      <c r="R301" s="18">
        <f t="shared" si="16"/>
        <v>0</v>
      </c>
      <c r="S301" s="18">
        <f t="shared" si="17"/>
        <v>6079.0899999999992</v>
      </c>
    </row>
    <row r="302" spans="1:19" x14ac:dyDescent="0.25">
      <c r="A302" s="28">
        <v>86089</v>
      </c>
      <c r="B302" s="30" t="s">
        <v>571</v>
      </c>
      <c r="C302" s="30">
        <v>189</v>
      </c>
      <c r="D302" s="9" t="s">
        <v>572</v>
      </c>
      <c r="E302" s="9" t="s">
        <v>19</v>
      </c>
      <c r="F302" s="44">
        <v>41776</v>
      </c>
      <c r="G302" s="38">
        <f>96.19+47.2+1264.94+47.2+47.2+272.4</f>
        <v>1775.13</v>
      </c>
      <c r="H302" s="18"/>
      <c r="I302" s="136">
        <f>750+500</f>
        <v>1250</v>
      </c>
      <c r="J302" s="18"/>
      <c r="K302" s="8"/>
      <c r="L302" s="18"/>
      <c r="M302" s="18"/>
      <c r="N302" s="18"/>
      <c r="O302" s="18"/>
      <c r="P302" s="18"/>
      <c r="Q302" s="18">
        <f t="shared" si="15"/>
        <v>3025.13</v>
      </c>
      <c r="R302" s="18">
        <f t="shared" si="16"/>
        <v>0</v>
      </c>
      <c r="S302" s="18">
        <f t="shared" si="17"/>
        <v>3025.13</v>
      </c>
    </row>
    <row r="303" spans="1:19" x14ac:dyDescent="0.25">
      <c r="A303" s="28">
        <v>97557</v>
      </c>
      <c r="B303" s="30" t="s">
        <v>573</v>
      </c>
      <c r="C303" s="30">
        <v>190</v>
      </c>
      <c r="D303" s="9" t="s">
        <v>574</v>
      </c>
      <c r="E303" s="9" t="s">
        <v>19</v>
      </c>
      <c r="F303" s="44">
        <v>41740</v>
      </c>
      <c r="G303" s="38">
        <f>580+580+444.98</f>
        <v>1604.98</v>
      </c>
      <c r="H303" s="18"/>
      <c r="I303" s="139"/>
      <c r="J303" s="18"/>
      <c r="K303" s="8"/>
      <c r="L303" s="18"/>
      <c r="M303" s="18"/>
      <c r="N303" s="18"/>
      <c r="O303" s="18"/>
      <c r="P303" s="18"/>
      <c r="Q303" s="18">
        <f t="shared" si="15"/>
        <v>1604.98</v>
      </c>
      <c r="R303" s="18">
        <f t="shared" si="16"/>
        <v>0</v>
      </c>
      <c r="S303" s="18">
        <f t="shared" si="17"/>
        <v>1604.98</v>
      </c>
    </row>
    <row r="304" spans="1:19" x14ac:dyDescent="0.25">
      <c r="A304" s="28">
        <v>97557</v>
      </c>
      <c r="B304" s="30" t="s">
        <v>573</v>
      </c>
      <c r="C304" s="30">
        <v>190</v>
      </c>
      <c r="D304" s="9" t="s">
        <v>575</v>
      </c>
      <c r="E304" s="9" t="s">
        <v>19</v>
      </c>
      <c r="F304" s="44">
        <v>41740</v>
      </c>
      <c r="G304" s="38">
        <f>759.57</f>
        <v>759.57</v>
      </c>
      <c r="H304" s="18"/>
      <c r="I304" s="139"/>
      <c r="J304" s="18"/>
      <c r="K304" s="8"/>
      <c r="L304" s="18"/>
      <c r="M304" s="18">
        <v>3800</v>
      </c>
      <c r="N304" s="18"/>
      <c r="O304" s="18">
        <v>15200</v>
      </c>
      <c r="P304" s="18"/>
      <c r="Q304" s="18">
        <f t="shared" si="15"/>
        <v>19759.57</v>
      </c>
      <c r="R304" s="18">
        <f t="shared" si="16"/>
        <v>0</v>
      </c>
      <c r="S304" s="18">
        <f t="shared" si="17"/>
        <v>19759.57</v>
      </c>
    </row>
    <row r="305" spans="1:19" x14ac:dyDescent="0.25">
      <c r="A305" s="28">
        <v>85756</v>
      </c>
      <c r="B305" s="30" t="s">
        <v>576</v>
      </c>
      <c r="C305" s="30">
        <v>191</v>
      </c>
      <c r="D305" s="9" t="s">
        <v>577</v>
      </c>
      <c r="E305" s="9" t="s">
        <v>19</v>
      </c>
      <c r="F305" s="44">
        <v>41739</v>
      </c>
      <c r="G305" s="38">
        <v>84.17</v>
      </c>
      <c r="H305" s="18"/>
      <c r="I305" s="139"/>
      <c r="J305" s="18"/>
      <c r="K305" s="8"/>
      <c r="L305" s="18"/>
      <c r="M305" s="18"/>
      <c r="N305" s="18"/>
      <c r="O305" s="18"/>
      <c r="P305" s="18"/>
      <c r="Q305" s="18">
        <f t="shared" si="15"/>
        <v>84.17</v>
      </c>
      <c r="R305" s="18">
        <f t="shared" si="16"/>
        <v>0</v>
      </c>
      <c r="S305" s="18">
        <f t="shared" si="17"/>
        <v>84.17</v>
      </c>
    </row>
    <row r="306" spans="1:19" x14ac:dyDescent="0.25">
      <c r="A306" s="28">
        <v>80594</v>
      </c>
      <c r="B306" s="30" t="s">
        <v>578</v>
      </c>
      <c r="C306" s="30">
        <v>192</v>
      </c>
      <c r="D306" s="9" t="s">
        <v>579</v>
      </c>
      <c r="E306" s="9" t="s">
        <v>19</v>
      </c>
      <c r="F306" s="44">
        <v>41780</v>
      </c>
      <c r="G306" s="38">
        <f>47.2</f>
        <v>47.2</v>
      </c>
      <c r="H306" s="18"/>
      <c r="I306" s="139"/>
      <c r="J306" s="18"/>
      <c r="K306" s="8"/>
      <c r="L306" s="18"/>
      <c r="M306" s="18"/>
      <c r="N306" s="18"/>
      <c r="O306" s="18"/>
      <c r="P306" s="18"/>
      <c r="Q306" s="18">
        <f t="shared" si="15"/>
        <v>47.2</v>
      </c>
      <c r="R306" s="18">
        <f t="shared" si="16"/>
        <v>0</v>
      </c>
      <c r="S306" s="18">
        <f t="shared" si="17"/>
        <v>47.2</v>
      </c>
    </row>
    <row r="307" spans="1:19" x14ac:dyDescent="0.25">
      <c r="A307" s="28">
        <v>80594</v>
      </c>
      <c r="B307" s="30" t="s">
        <v>578</v>
      </c>
      <c r="C307" s="30">
        <v>192</v>
      </c>
      <c r="D307" s="9" t="s">
        <v>580</v>
      </c>
      <c r="E307" s="9" t="s">
        <v>19</v>
      </c>
      <c r="F307" s="44">
        <v>41780</v>
      </c>
      <c r="G307" s="38">
        <v>47.2</v>
      </c>
      <c r="H307" s="18"/>
      <c r="I307" s="139"/>
      <c r="J307" s="18"/>
      <c r="K307" s="8"/>
      <c r="L307" s="18"/>
      <c r="M307" s="18"/>
      <c r="N307" s="18"/>
      <c r="O307" s="18"/>
      <c r="P307" s="18"/>
      <c r="Q307" s="18">
        <f t="shared" si="15"/>
        <v>47.2</v>
      </c>
      <c r="R307" s="18">
        <f t="shared" si="16"/>
        <v>0</v>
      </c>
      <c r="S307" s="18">
        <f t="shared" si="17"/>
        <v>47.2</v>
      </c>
    </row>
    <row r="308" spans="1:19" x14ac:dyDescent="0.25">
      <c r="A308" s="28">
        <v>87345</v>
      </c>
      <c r="B308" s="30" t="s">
        <v>581</v>
      </c>
      <c r="C308" s="30">
        <v>193</v>
      </c>
      <c r="D308" s="9" t="s">
        <v>582</v>
      </c>
      <c r="E308" s="9" t="s">
        <v>19</v>
      </c>
      <c r="F308" s="44">
        <v>41783</v>
      </c>
      <c r="G308" s="38">
        <f>79.74</f>
        <v>79.739999999999995</v>
      </c>
      <c r="H308" s="18"/>
      <c r="I308" s="139"/>
      <c r="J308" s="18"/>
      <c r="K308" s="8"/>
      <c r="L308" s="18"/>
      <c r="M308" s="18"/>
      <c r="N308" s="18"/>
      <c r="O308" s="18"/>
      <c r="P308" s="18"/>
      <c r="Q308" s="18">
        <f t="shared" si="15"/>
        <v>79.739999999999995</v>
      </c>
      <c r="R308" s="18">
        <f t="shared" si="16"/>
        <v>0</v>
      </c>
      <c r="S308" s="18">
        <f t="shared" si="17"/>
        <v>79.739999999999995</v>
      </c>
    </row>
    <row r="309" spans="1:19" x14ac:dyDescent="0.25">
      <c r="A309" s="28">
        <v>88549</v>
      </c>
      <c r="B309" s="30" t="s">
        <v>583</v>
      </c>
      <c r="C309" s="30">
        <v>194</v>
      </c>
      <c r="D309" s="9" t="s">
        <v>584</v>
      </c>
      <c r="E309" s="9" t="s">
        <v>19</v>
      </c>
      <c r="F309" s="44">
        <v>41784</v>
      </c>
      <c r="G309" s="38">
        <f>240+459.32</f>
        <v>699.31999999999994</v>
      </c>
      <c r="H309" s="18"/>
      <c r="I309" s="139"/>
      <c r="J309" s="18"/>
      <c r="K309" s="8"/>
      <c r="L309" s="18"/>
      <c r="M309" s="18"/>
      <c r="N309" s="18"/>
      <c r="O309" s="18"/>
      <c r="P309" s="18"/>
      <c r="Q309" s="18">
        <f t="shared" si="15"/>
        <v>699.31999999999994</v>
      </c>
      <c r="R309" s="18">
        <f t="shared" si="16"/>
        <v>0</v>
      </c>
      <c r="S309" s="18">
        <f t="shared" si="17"/>
        <v>699.31999999999994</v>
      </c>
    </row>
    <row r="310" spans="1:19" x14ac:dyDescent="0.25">
      <c r="A310" s="28">
        <v>88549</v>
      </c>
      <c r="B310" s="30" t="s">
        <v>583</v>
      </c>
      <c r="C310" s="30">
        <v>194</v>
      </c>
      <c r="D310" s="9" t="s">
        <v>585</v>
      </c>
      <c r="E310" s="9" t="s">
        <v>19</v>
      </c>
      <c r="F310" s="44">
        <v>41784</v>
      </c>
      <c r="G310" s="38">
        <f>756.79</f>
        <v>756.79</v>
      </c>
      <c r="H310" s="18"/>
      <c r="I310" s="139"/>
      <c r="J310" s="18"/>
      <c r="K310" s="8"/>
      <c r="L310" s="18"/>
      <c r="M310" s="18"/>
      <c r="N310" s="18"/>
      <c r="O310" s="18"/>
      <c r="P310" s="18"/>
      <c r="Q310" s="18">
        <f t="shared" si="15"/>
        <v>756.79</v>
      </c>
      <c r="R310" s="18">
        <f t="shared" si="16"/>
        <v>0</v>
      </c>
      <c r="S310" s="18">
        <f t="shared" si="17"/>
        <v>756.79</v>
      </c>
    </row>
    <row r="311" spans="1:19" x14ac:dyDescent="0.25">
      <c r="A311" s="28">
        <v>88549</v>
      </c>
      <c r="B311" s="30" t="s">
        <v>583</v>
      </c>
      <c r="C311" s="30">
        <v>194</v>
      </c>
      <c r="D311" s="9" t="s">
        <v>586</v>
      </c>
      <c r="E311" s="9" t="s">
        <v>19</v>
      </c>
      <c r="F311" s="44">
        <v>41784</v>
      </c>
      <c r="G311" s="38">
        <f>568.47</f>
        <v>568.47</v>
      </c>
      <c r="H311" s="18"/>
      <c r="I311" s="139"/>
      <c r="J311" s="18"/>
      <c r="K311" s="8"/>
      <c r="L311" s="18"/>
      <c r="M311" s="18"/>
      <c r="N311" s="18"/>
      <c r="O311" s="18"/>
      <c r="P311" s="18"/>
      <c r="Q311" s="18">
        <f t="shared" si="15"/>
        <v>568.47</v>
      </c>
      <c r="R311" s="18">
        <f t="shared" si="16"/>
        <v>0</v>
      </c>
      <c r="S311" s="18">
        <f t="shared" si="17"/>
        <v>568.47</v>
      </c>
    </row>
    <row r="312" spans="1:19" x14ac:dyDescent="0.25">
      <c r="A312" s="28">
        <v>88549</v>
      </c>
      <c r="B312" s="30" t="s">
        <v>583</v>
      </c>
      <c r="C312" s="30">
        <v>194</v>
      </c>
      <c r="D312" s="9" t="s">
        <v>587</v>
      </c>
      <c r="E312" s="9" t="s">
        <v>19</v>
      </c>
      <c r="F312" s="44">
        <v>41784</v>
      </c>
      <c r="G312" s="38">
        <f>631.95</f>
        <v>631.95000000000005</v>
      </c>
      <c r="H312" s="18"/>
      <c r="I312" s="139"/>
      <c r="J312" s="18"/>
      <c r="K312" s="8"/>
      <c r="L312" s="18"/>
      <c r="M312" s="18"/>
      <c r="N312" s="18"/>
      <c r="O312" s="18"/>
      <c r="P312" s="18"/>
      <c r="Q312" s="18">
        <f t="shared" si="15"/>
        <v>631.95000000000005</v>
      </c>
      <c r="R312" s="18">
        <f t="shared" si="16"/>
        <v>0</v>
      </c>
      <c r="S312" s="18">
        <f t="shared" si="17"/>
        <v>631.95000000000005</v>
      </c>
    </row>
    <row r="313" spans="1:19" x14ac:dyDescent="0.25">
      <c r="A313" s="28">
        <v>79150</v>
      </c>
      <c r="B313" s="30" t="s">
        <v>588</v>
      </c>
      <c r="C313" s="30">
        <v>195</v>
      </c>
      <c r="D313" s="9" t="s">
        <v>589</v>
      </c>
      <c r="E313" s="9" t="s">
        <v>19</v>
      </c>
      <c r="F313" s="44">
        <v>41784</v>
      </c>
      <c r="G313" s="38">
        <f>30+41.3+117.87+75.88+320+41.3+41.3+41.3+315.7</f>
        <v>1024.6499999999999</v>
      </c>
      <c r="H313" s="18"/>
      <c r="I313" s="139"/>
      <c r="J313" s="18"/>
      <c r="K313" s="8"/>
      <c r="L313" s="18"/>
      <c r="M313" s="18"/>
      <c r="N313" s="18"/>
      <c r="O313" s="18"/>
      <c r="P313" s="18"/>
      <c r="Q313" s="18">
        <f t="shared" si="15"/>
        <v>1024.6499999999999</v>
      </c>
      <c r="R313" s="18">
        <f t="shared" si="16"/>
        <v>0</v>
      </c>
      <c r="S313" s="18">
        <f t="shared" si="17"/>
        <v>1024.6499999999999</v>
      </c>
    </row>
    <row r="314" spans="1:19" x14ac:dyDescent="0.25">
      <c r="A314" s="28">
        <v>83191</v>
      </c>
      <c r="B314" s="30" t="s">
        <v>590</v>
      </c>
      <c r="C314" s="30">
        <v>196</v>
      </c>
      <c r="D314" s="9" t="s">
        <v>591</v>
      </c>
      <c r="E314" s="9" t="s">
        <v>19</v>
      </c>
      <c r="F314" s="44">
        <v>41785</v>
      </c>
      <c r="G314" s="38">
        <f>40</f>
        <v>40</v>
      </c>
      <c r="H314" s="18"/>
      <c r="I314" s="139"/>
      <c r="J314" s="18"/>
      <c r="K314" s="8"/>
      <c r="L314" s="18"/>
      <c r="M314" s="18"/>
      <c r="N314" s="18"/>
      <c r="O314" s="18"/>
      <c r="P314" s="18"/>
      <c r="Q314" s="18">
        <f t="shared" si="15"/>
        <v>40</v>
      </c>
      <c r="R314" s="18">
        <f t="shared" si="16"/>
        <v>0</v>
      </c>
      <c r="S314" s="18">
        <f t="shared" si="17"/>
        <v>40</v>
      </c>
    </row>
    <row r="315" spans="1:19" x14ac:dyDescent="0.25">
      <c r="A315" s="28">
        <v>83191</v>
      </c>
      <c r="B315" s="30" t="s">
        <v>590</v>
      </c>
      <c r="C315" s="30">
        <v>196</v>
      </c>
      <c r="D315" s="9" t="s">
        <v>592</v>
      </c>
      <c r="E315" s="9" t="s">
        <v>19</v>
      </c>
      <c r="F315" s="44">
        <v>41785</v>
      </c>
      <c r="G315" s="38">
        <f>40</f>
        <v>40</v>
      </c>
      <c r="H315" s="18"/>
      <c r="I315" s="139"/>
      <c r="J315" s="18"/>
      <c r="K315" s="8"/>
      <c r="L315" s="18"/>
      <c r="M315" s="18"/>
      <c r="N315" s="18"/>
      <c r="O315" s="18"/>
      <c r="P315" s="18"/>
      <c r="Q315" s="18">
        <f t="shared" si="15"/>
        <v>40</v>
      </c>
      <c r="R315" s="18">
        <f t="shared" si="16"/>
        <v>0</v>
      </c>
      <c r="S315" s="18">
        <f t="shared" si="17"/>
        <v>40</v>
      </c>
    </row>
    <row r="316" spans="1:19" x14ac:dyDescent="0.25">
      <c r="A316" s="28">
        <v>83191</v>
      </c>
      <c r="B316" s="30" t="s">
        <v>590</v>
      </c>
      <c r="C316" s="30">
        <v>196</v>
      </c>
      <c r="D316" s="9" t="s">
        <v>593</v>
      </c>
      <c r="E316" s="9" t="s">
        <v>19</v>
      </c>
      <c r="F316" s="44">
        <v>41785</v>
      </c>
      <c r="G316" s="38">
        <f>40</f>
        <v>40</v>
      </c>
      <c r="H316" s="18"/>
      <c r="I316" s="139"/>
      <c r="J316" s="18"/>
      <c r="K316" s="8"/>
      <c r="L316" s="18"/>
      <c r="M316" s="18"/>
      <c r="N316" s="18"/>
      <c r="O316" s="18"/>
      <c r="P316" s="18"/>
      <c r="Q316" s="18">
        <f t="shared" si="15"/>
        <v>40</v>
      </c>
      <c r="R316" s="18">
        <f t="shared" si="16"/>
        <v>0</v>
      </c>
      <c r="S316" s="18">
        <f t="shared" si="17"/>
        <v>40</v>
      </c>
    </row>
    <row r="317" spans="1:19" x14ac:dyDescent="0.25">
      <c r="A317" s="28">
        <v>76452</v>
      </c>
      <c r="B317" s="30" t="s">
        <v>594</v>
      </c>
      <c r="C317" s="30">
        <v>197</v>
      </c>
      <c r="D317" s="9" t="s">
        <v>595</v>
      </c>
      <c r="E317" s="9" t="s">
        <v>19</v>
      </c>
      <c r="F317" s="44">
        <v>41705</v>
      </c>
      <c r="G317" s="38">
        <f>110.45</f>
        <v>110.45</v>
      </c>
      <c r="H317" s="18"/>
      <c r="I317" s="139"/>
      <c r="J317" s="18"/>
      <c r="K317" s="8"/>
      <c r="L317" s="18"/>
      <c r="M317" s="18"/>
      <c r="N317" s="18"/>
      <c r="O317" s="18"/>
      <c r="P317" s="18"/>
      <c r="Q317" s="18">
        <f t="shared" si="15"/>
        <v>110.45</v>
      </c>
      <c r="R317" s="18">
        <f t="shared" si="16"/>
        <v>0</v>
      </c>
      <c r="S317" s="18">
        <f t="shared" si="17"/>
        <v>110.45</v>
      </c>
    </row>
    <row r="318" spans="1:19" x14ac:dyDescent="0.25">
      <c r="A318" s="28">
        <v>72660</v>
      </c>
      <c r="B318" s="30" t="s">
        <v>596</v>
      </c>
      <c r="C318" s="30">
        <v>198</v>
      </c>
      <c r="D318" s="9" t="s">
        <v>3717</v>
      </c>
      <c r="E318" s="9" t="s">
        <v>19</v>
      </c>
      <c r="F318" s="44">
        <v>41762</v>
      </c>
      <c r="G318" s="38">
        <f>47.2</f>
        <v>47.2</v>
      </c>
      <c r="H318" s="18"/>
      <c r="I318" s="139"/>
      <c r="J318" s="18"/>
      <c r="K318" s="8"/>
      <c r="L318" s="18"/>
      <c r="M318" s="18"/>
      <c r="N318" s="18"/>
      <c r="O318" s="18"/>
      <c r="P318" s="18"/>
      <c r="Q318" s="18">
        <f t="shared" si="15"/>
        <v>47.2</v>
      </c>
      <c r="R318" s="18">
        <f t="shared" si="16"/>
        <v>0</v>
      </c>
      <c r="S318" s="18">
        <f t="shared" si="17"/>
        <v>47.2</v>
      </c>
    </row>
    <row r="319" spans="1:19" x14ac:dyDescent="0.25">
      <c r="A319" s="28">
        <v>91992</v>
      </c>
      <c r="B319" s="30" t="s">
        <v>597</v>
      </c>
      <c r="C319" s="30">
        <v>199</v>
      </c>
      <c r="D319" s="9" t="s">
        <v>598</v>
      </c>
      <c r="E319" s="9" t="s">
        <v>19</v>
      </c>
      <c r="F319" s="44">
        <v>41775</v>
      </c>
      <c r="G319" s="38">
        <f>320+371.5</f>
        <v>691.5</v>
      </c>
      <c r="H319" s="18"/>
      <c r="I319" s="139"/>
      <c r="J319" s="18"/>
      <c r="K319" s="8"/>
      <c r="L319" s="18"/>
      <c r="M319" s="18"/>
      <c r="N319" s="18"/>
      <c r="O319" s="18"/>
      <c r="P319" s="18"/>
      <c r="Q319" s="18">
        <f t="shared" si="15"/>
        <v>691.5</v>
      </c>
      <c r="R319" s="18">
        <f t="shared" si="16"/>
        <v>0</v>
      </c>
      <c r="S319" s="18">
        <f t="shared" si="17"/>
        <v>691.5</v>
      </c>
    </row>
    <row r="320" spans="1:19" x14ac:dyDescent="0.25">
      <c r="A320" s="28">
        <v>94562</v>
      </c>
      <c r="B320" s="30" t="s">
        <v>599</v>
      </c>
      <c r="C320" s="30">
        <v>200</v>
      </c>
      <c r="D320" s="9" t="s">
        <v>600</v>
      </c>
      <c r="E320" s="9" t="s">
        <v>19</v>
      </c>
      <c r="F320" s="44">
        <v>41775</v>
      </c>
      <c r="G320" s="38">
        <f>118.91+41.3+106.31+41.3+78.1+41.3+135.97+135.97+155.2</f>
        <v>854.3599999999999</v>
      </c>
      <c r="H320" s="18"/>
      <c r="I320" s="139"/>
      <c r="J320" s="18"/>
      <c r="K320" s="8"/>
      <c r="L320" s="18"/>
      <c r="M320" s="18"/>
      <c r="N320" s="18"/>
      <c r="O320" s="18"/>
      <c r="P320" s="18"/>
      <c r="Q320" s="18">
        <f t="shared" si="15"/>
        <v>854.3599999999999</v>
      </c>
      <c r="R320" s="18">
        <f t="shared" si="16"/>
        <v>0</v>
      </c>
      <c r="S320" s="18">
        <f t="shared" si="17"/>
        <v>854.3599999999999</v>
      </c>
    </row>
    <row r="321" spans="1:19" x14ac:dyDescent="0.25">
      <c r="A321" s="28">
        <v>79148</v>
      </c>
      <c r="B321" s="30" t="s">
        <v>601</v>
      </c>
      <c r="C321" s="30">
        <v>201</v>
      </c>
      <c r="D321" s="9" t="s">
        <v>602</v>
      </c>
      <c r="E321" s="9" t="s">
        <v>19</v>
      </c>
      <c r="F321" s="44">
        <v>41780</v>
      </c>
      <c r="G321" s="38">
        <f>180.91+111.43</f>
        <v>292.34000000000003</v>
      </c>
      <c r="H321" s="18"/>
      <c r="I321" s="139"/>
      <c r="J321" s="18"/>
      <c r="K321" s="8"/>
      <c r="L321" s="18"/>
      <c r="M321" s="18"/>
      <c r="N321" s="18"/>
      <c r="O321" s="18"/>
      <c r="P321" s="18"/>
      <c r="Q321" s="18">
        <f t="shared" si="15"/>
        <v>292.34000000000003</v>
      </c>
      <c r="R321" s="18">
        <f t="shared" si="16"/>
        <v>0</v>
      </c>
      <c r="S321" s="18">
        <f t="shared" si="17"/>
        <v>292.34000000000003</v>
      </c>
    </row>
    <row r="322" spans="1:19" x14ac:dyDescent="0.25">
      <c r="A322" s="28">
        <v>92176</v>
      </c>
      <c r="B322" s="30" t="s">
        <v>603</v>
      </c>
      <c r="C322" s="30">
        <v>202</v>
      </c>
      <c r="D322" s="9" t="s">
        <v>604</v>
      </c>
      <c r="E322" s="9" t="s">
        <v>19</v>
      </c>
      <c r="F322" s="44">
        <v>41788</v>
      </c>
      <c r="G322" s="38">
        <f>57.58</f>
        <v>57.58</v>
      </c>
      <c r="H322" s="18"/>
      <c r="I322" s="139"/>
      <c r="J322" s="18"/>
      <c r="K322" s="8"/>
      <c r="L322" s="18"/>
      <c r="M322" s="18"/>
      <c r="N322" s="18"/>
      <c r="O322" s="18"/>
      <c r="P322" s="18"/>
      <c r="Q322" s="18">
        <f t="shared" si="15"/>
        <v>57.58</v>
      </c>
      <c r="R322" s="18">
        <f t="shared" si="16"/>
        <v>0</v>
      </c>
      <c r="S322" s="18">
        <f t="shared" si="17"/>
        <v>57.58</v>
      </c>
    </row>
    <row r="323" spans="1:19" x14ac:dyDescent="0.25">
      <c r="A323" s="28">
        <v>91529</v>
      </c>
      <c r="B323" s="30" t="s">
        <v>605</v>
      </c>
      <c r="C323" s="30">
        <v>203</v>
      </c>
      <c r="D323" s="9" t="s">
        <v>606</v>
      </c>
      <c r="E323" s="9" t="s">
        <v>19</v>
      </c>
      <c r="F323" s="44">
        <v>41790</v>
      </c>
      <c r="G323" s="38">
        <f>138+47.2</f>
        <v>185.2</v>
      </c>
      <c r="H323" s="18"/>
      <c r="I323" s="139"/>
      <c r="J323" s="18"/>
      <c r="K323" s="8"/>
      <c r="L323" s="18"/>
      <c r="M323" s="18"/>
      <c r="N323" s="18"/>
      <c r="O323" s="18"/>
      <c r="P323" s="18"/>
      <c r="Q323" s="18">
        <f t="shared" si="15"/>
        <v>185.2</v>
      </c>
      <c r="R323" s="18">
        <f t="shared" si="16"/>
        <v>0</v>
      </c>
      <c r="S323" s="18">
        <f t="shared" si="17"/>
        <v>185.2</v>
      </c>
    </row>
    <row r="324" spans="1:19" x14ac:dyDescent="0.25">
      <c r="A324" s="28">
        <v>84849</v>
      </c>
      <c r="B324" s="30" t="s">
        <v>607</v>
      </c>
      <c r="C324" s="30">
        <v>204</v>
      </c>
      <c r="D324" s="9" t="s">
        <v>608</v>
      </c>
      <c r="E324" s="9" t="s">
        <v>19</v>
      </c>
      <c r="F324" s="44">
        <v>41775</v>
      </c>
      <c r="G324" s="38">
        <v>56.05</v>
      </c>
      <c r="H324" s="18"/>
      <c r="I324" s="139"/>
      <c r="J324" s="18"/>
      <c r="K324" s="8"/>
      <c r="L324" s="18"/>
      <c r="M324" s="18"/>
      <c r="N324" s="18"/>
      <c r="O324" s="18"/>
      <c r="P324" s="18"/>
      <c r="Q324" s="18">
        <f t="shared" si="15"/>
        <v>56.05</v>
      </c>
      <c r="R324" s="18">
        <f t="shared" si="16"/>
        <v>0</v>
      </c>
      <c r="S324" s="18">
        <f t="shared" si="17"/>
        <v>56.05</v>
      </c>
    </row>
    <row r="325" spans="1:19" x14ac:dyDescent="0.25">
      <c r="A325" s="28">
        <v>84849</v>
      </c>
      <c r="B325" s="30" t="s">
        <v>607</v>
      </c>
      <c r="C325" s="30">
        <v>204</v>
      </c>
      <c r="D325" s="9" t="s">
        <v>609</v>
      </c>
      <c r="E325" s="9" t="s">
        <v>19</v>
      </c>
      <c r="F325" s="44">
        <v>41775</v>
      </c>
      <c r="G325" s="38">
        <v>65.61</v>
      </c>
      <c r="H325" s="18"/>
      <c r="I325" s="139"/>
      <c r="J325" s="18"/>
      <c r="K325" s="8"/>
      <c r="L325" s="18"/>
      <c r="M325" s="18"/>
      <c r="N325" s="18"/>
      <c r="O325" s="18"/>
      <c r="P325" s="18"/>
      <c r="Q325" s="18">
        <f t="shared" si="15"/>
        <v>65.61</v>
      </c>
      <c r="R325" s="18">
        <f t="shared" si="16"/>
        <v>0</v>
      </c>
      <c r="S325" s="18">
        <f t="shared" si="17"/>
        <v>65.61</v>
      </c>
    </row>
    <row r="326" spans="1:19" x14ac:dyDescent="0.25">
      <c r="A326" s="28">
        <v>84849</v>
      </c>
      <c r="B326" s="30" t="s">
        <v>607</v>
      </c>
      <c r="C326" s="30">
        <v>204</v>
      </c>
      <c r="D326" s="9" t="s">
        <v>610</v>
      </c>
      <c r="E326" s="9" t="s">
        <v>19</v>
      </c>
      <c r="F326" s="44">
        <v>41775</v>
      </c>
      <c r="G326" s="38">
        <v>75.52</v>
      </c>
      <c r="H326" s="18"/>
      <c r="I326" s="139"/>
      <c r="J326" s="18"/>
      <c r="K326" s="8"/>
      <c r="L326" s="18"/>
      <c r="M326" s="18"/>
      <c r="N326" s="18"/>
      <c r="O326" s="18"/>
      <c r="P326" s="18"/>
      <c r="Q326" s="18">
        <f t="shared" si="15"/>
        <v>75.52</v>
      </c>
      <c r="R326" s="18">
        <f t="shared" si="16"/>
        <v>0</v>
      </c>
      <c r="S326" s="18">
        <f t="shared" si="17"/>
        <v>75.52</v>
      </c>
    </row>
    <row r="327" spans="1:19" x14ac:dyDescent="0.25">
      <c r="A327" s="28">
        <v>84849</v>
      </c>
      <c r="B327" s="30" t="s">
        <v>607</v>
      </c>
      <c r="C327" s="30">
        <v>204</v>
      </c>
      <c r="D327" s="9" t="s">
        <v>611</v>
      </c>
      <c r="E327" s="9" t="s">
        <v>19</v>
      </c>
      <c r="F327" s="44">
        <v>41775</v>
      </c>
      <c r="G327" s="38">
        <v>55.46</v>
      </c>
      <c r="H327" s="18"/>
      <c r="I327" s="139"/>
      <c r="J327" s="18"/>
      <c r="K327" s="8"/>
      <c r="L327" s="18"/>
      <c r="M327" s="18"/>
      <c r="N327" s="18"/>
      <c r="O327" s="18"/>
      <c r="P327" s="18"/>
      <c r="Q327" s="18">
        <f t="shared" si="15"/>
        <v>55.46</v>
      </c>
      <c r="R327" s="18">
        <f t="shared" si="16"/>
        <v>0</v>
      </c>
      <c r="S327" s="18">
        <f t="shared" si="17"/>
        <v>55.46</v>
      </c>
    </row>
    <row r="328" spans="1:19" x14ac:dyDescent="0.25">
      <c r="A328" s="45">
        <v>78173</v>
      </c>
      <c r="B328" s="46" t="s">
        <v>612</v>
      </c>
      <c r="C328" s="46">
        <v>205</v>
      </c>
      <c r="D328" s="24" t="s">
        <v>613</v>
      </c>
      <c r="E328" s="24" t="s">
        <v>614</v>
      </c>
      <c r="F328" s="47">
        <v>41789</v>
      </c>
      <c r="G328" s="38">
        <f>510+1356+117+429.07+597.3+123+558+115.09+241.78+118.23+143.6+41.3</f>
        <v>4350.3700000000008</v>
      </c>
      <c r="H328" s="48"/>
      <c r="I328" s="139">
        <f>2000+1800</f>
        <v>3800</v>
      </c>
      <c r="J328" s="48"/>
      <c r="K328" s="35"/>
      <c r="L328" s="18"/>
      <c r="M328" s="18"/>
      <c r="N328" s="18"/>
      <c r="O328" s="18"/>
      <c r="P328" s="18"/>
      <c r="Q328" s="18">
        <f t="shared" si="15"/>
        <v>8150.3700000000008</v>
      </c>
      <c r="R328" s="18">
        <f t="shared" si="16"/>
        <v>0</v>
      </c>
      <c r="S328" s="18">
        <f t="shared" si="17"/>
        <v>8150.3700000000008</v>
      </c>
    </row>
    <row r="329" spans="1:19" x14ac:dyDescent="0.25">
      <c r="A329" s="45" t="s">
        <v>690</v>
      </c>
      <c r="B329" s="46" t="s">
        <v>691</v>
      </c>
      <c r="C329" s="46">
        <v>206</v>
      </c>
      <c r="D329" s="24" t="s">
        <v>619</v>
      </c>
      <c r="E329" s="24" t="s">
        <v>19</v>
      </c>
      <c r="F329" s="47">
        <v>41792</v>
      </c>
      <c r="G329" s="26">
        <f>106.35+64.66</f>
        <v>171.01</v>
      </c>
      <c r="H329" s="24"/>
      <c r="I329" s="139"/>
      <c r="J329" s="24"/>
      <c r="K329" s="35"/>
      <c r="L329" s="9"/>
      <c r="M329" s="9"/>
      <c r="N329" s="9"/>
      <c r="O329" s="9"/>
      <c r="P329" s="9"/>
      <c r="Q329" s="18">
        <f t="shared" si="15"/>
        <v>171.01</v>
      </c>
      <c r="R329" s="18">
        <f t="shared" si="16"/>
        <v>0</v>
      </c>
      <c r="S329" s="18">
        <f t="shared" si="17"/>
        <v>171.01</v>
      </c>
    </row>
    <row r="330" spans="1:19" x14ac:dyDescent="0.25">
      <c r="A330" s="45" t="s">
        <v>690</v>
      </c>
      <c r="B330" s="46" t="s">
        <v>691</v>
      </c>
      <c r="C330" s="46">
        <v>206</v>
      </c>
      <c r="D330" s="24" t="s">
        <v>620</v>
      </c>
      <c r="E330" s="24" t="s">
        <v>19</v>
      </c>
      <c r="F330" s="47">
        <v>41792</v>
      </c>
      <c r="G330" s="26">
        <f>58.41</f>
        <v>58.41</v>
      </c>
      <c r="H330" s="24"/>
      <c r="I330" s="139"/>
      <c r="J330" s="24"/>
      <c r="K330" s="35"/>
      <c r="L330" s="9"/>
      <c r="M330" s="9"/>
      <c r="N330" s="9"/>
      <c r="O330" s="9"/>
      <c r="P330" s="9"/>
      <c r="Q330" s="18">
        <f t="shared" si="15"/>
        <v>58.41</v>
      </c>
      <c r="R330" s="18">
        <f t="shared" si="16"/>
        <v>0</v>
      </c>
      <c r="S330" s="18">
        <f t="shared" si="17"/>
        <v>58.41</v>
      </c>
    </row>
    <row r="331" spans="1:19" x14ac:dyDescent="0.25">
      <c r="A331" s="45" t="s">
        <v>690</v>
      </c>
      <c r="B331" s="46" t="s">
        <v>691</v>
      </c>
      <c r="C331" s="46">
        <v>206</v>
      </c>
      <c r="D331" s="24" t="s">
        <v>621</v>
      </c>
      <c r="E331" s="24" t="s">
        <v>19</v>
      </c>
      <c r="F331" s="47">
        <v>41792</v>
      </c>
      <c r="G331" s="26">
        <f>57.64</f>
        <v>57.64</v>
      </c>
      <c r="H331" s="24"/>
      <c r="I331" s="139"/>
      <c r="J331" s="24"/>
      <c r="K331" s="35"/>
      <c r="L331" s="9"/>
      <c r="M331" s="9"/>
      <c r="N331" s="9"/>
      <c r="O331" s="9"/>
      <c r="P331" s="9"/>
      <c r="Q331" s="18">
        <f t="shared" si="15"/>
        <v>57.64</v>
      </c>
      <c r="R331" s="18">
        <f t="shared" si="16"/>
        <v>0</v>
      </c>
      <c r="S331" s="18">
        <f t="shared" si="17"/>
        <v>57.64</v>
      </c>
    </row>
    <row r="332" spans="1:19" x14ac:dyDescent="0.25">
      <c r="A332" s="45" t="s">
        <v>690</v>
      </c>
      <c r="B332" s="46" t="s">
        <v>691</v>
      </c>
      <c r="C332" s="46">
        <v>206</v>
      </c>
      <c r="D332" s="24" t="s">
        <v>622</v>
      </c>
      <c r="E332" s="24" t="s">
        <v>19</v>
      </c>
      <c r="F332" s="47">
        <v>41792</v>
      </c>
      <c r="G332" s="26">
        <f>48.38</f>
        <v>48.38</v>
      </c>
      <c r="H332" s="24"/>
      <c r="I332" s="139"/>
      <c r="J332" s="24"/>
      <c r="K332" s="35"/>
      <c r="L332" s="9"/>
      <c r="M332" s="9"/>
      <c r="N332" s="9"/>
      <c r="O332" s="9"/>
      <c r="P332" s="9"/>
      <c r="Q332" s="18">
        <f t="shared" si="15"/>
        <v>48.38</v>
      </c>
      <c r="R332" s="18">
        <f t="shared" si="16"/>
        <v>0</v>
      </c>
      <c r="S332" s="18">
        <f t="shared" si="17"/>
        <v>48.38</v>
      </c>
    </row>
    <row r="333" spans="1:19" x14ac:dyDescent="0.25">
      <c r="A333" s="45" t="s">
        <v>692</v>
      </c>
      <c r="B333" s="46" t="s">
        <v>693</v>
      </c>
      <c r="C333" s="46">
        <v>207</v>
      </c>
      <c r="D333" s="24" t="s">
        <v>623</v>
      </c>
      <c r="E333" s="24" t="s">
        <v>19</v>
      </c>
      <c r="F333" s="47">
        <v>41792</v>
      </c>
      <c r="G333" s="29">
        <f>47.2+130+47.2+166.5+47.2+185+260</f>
        <v>883.09999999999991</v>
      </c>
      <c r="H333" s="24"/>
      <c r="I333" s="139">
        <f>1000</f>
        <v>1000</v>
      </c>
      <c r="J333" s="24"/>
      <c r="K333" s="35"/>
      <c r="L333" s="9"/>
      <c r="M333" s="9"/>
      <c r="N333" s="9"/>
      <c r="O333" s="9"/>
      <c r="P333" s="9"/>
      <c r="Q333" s="18">
        <f t="shared" si="15"/>
        <v>1883.1</v>
      </c>
      <c r="R333" s="18">
        <f t="shared" si="16"/>
        <v>0</v>
      </c>
      <c r="S333" s="18">
        <f t="shared" si="17"/>
        <v>1883.1</v>
      </c>
    </row>
    <row r="334" spans="1:19" x14ac:dyDescent="0.25">
      <c r="A334" s="45" t="s">
        <v>694</v>
      </c>
      <c r="B334" s="46" t="s">
        <v>695</v>
      </c>
      <c r="C334" s="46">
        <v>208</v>
      </c>
      <c r="D334" s="24" t="s">
        <v>624</v>
      </c>
      <c r="E334" s="24" t="s">
        <v>19</v>
      </c>
      <c r="F334" s="47">
        <v>41793</v>
      </c>
      <c r="G334" s="26">
        <f>120.28+47.2+73.16+348.1+47.2+41.22+241.13</f>
        <v>918.29000000000008</v>
      </c>
      <c r="H334" s="24"/>
      <c r="I334" s="139"/>
      <c r="J334" s="24"/>
      <c r="K334" s="35"/>
      <c r="L334" s="9"/>
      <c r="M334" s="9"/>
      <c r="N334" s="9"/>
      <c r="O334" s="9"/>
      <c r="P334" s="9"/>
      <c r="Q334" s="18">
        <f t="shared" si="15"/>
        <v>918.29000000000008</v>
      </c>
      <c r="R334" s="18">
        <f t="shared" si="16"/>
        <v>0</v>
      </c>
      <c r="S334" s="18">
        <f t="shared" si="17"/>
        <v>918.29000000000008</v>
      </c>
    </row>
    <row r="335" spans="1:19" x14ac:dyDescent="0.25">
      <c r="A335" s="45" t="s">
        <v>696</v>
      </c>
      <c r="B335" s="46" t="s">
        <v>697</v>
      </c>
      <c r="C335" s="46">
        <v>209</v>
      </c>
      <c r="D335" s="24" t="s">
        <v>625</v>
      </c>
      <c r="E335" s="24" t="s">
        <v>19</v>
      </c>
      <c r="F335" s="47">
        <v>41796</v>
      </c>
      <c r="G335" s="26">
        <f>41.3+186.37</f>
        <v>227.67000000000002</v>
      </c>
      <c r="H335" s="24"/>
      <c r="I335" s="139"/>
      <c r="J335" s="24"/>
      <c r="K335" s="35"/>
      <c r="L335" s="9"/>
      <c r="M335" s="9"/>
      <c r="N335" s="9"/>
      <c r="O335" s="9"/>
      <c r="P335" s="9"/>
      <c r="Q335" s="18">
        <f t="shared" si="15"/>
        <v>227.67000000000002</v>
      </c>
      <c r="R335" s="18">
        <f t="shared" si="16"/>
        <v>0</v>
      </c>
      <c r="S335" s="18">
        <f t="shared" si="17"/>
        <v>227.67000000000002</v>
      </c>
    </row>
    <row r="336" spans="1:19" x14ac:dyDescent="0.25">
      <c r="A336" s="45" t="s">
        <v>698</v>
      </c>
      <c r="B336" s="46" t="s">
        <v>699</v>
      </c>
      <c r="C336" s="46">
        <v>210</v>
      </c>
      <c r="D336" s="24" t="s">
        <v>626</v>
      </c>
      <c r="E336" s="24" t="s">
        <v>614</v>
      </c>
      <c r="F336" s="47">
        <v>41782</v>
      </c>
      <c r="G336" s="38">
        <f>108.53+2832.89+63+57.62+275.74+227.5</f>
        <v>3565.2799999999997</v>
      </c>
      <c r="H336" s="24"/>
      <c r="I336" s="139"/>
      <c r="J336" s="24"/>
      <c r="K336" s="35"/>
      <c r="L336" s="9"/>
      <c r="M336" s="9"/>
      <c r="N336" s="9"/>
      <c r="O336" s="9"/>
      <c r="P336" s="9"/>
      <c r="Q336" s="18">
        <f t="shared" si="15"/>
        <v>3565.2799999999997</v>
      </c>
      <c r="R336" s="18">
        <f t="shared" si="16"/>
        <v>0</v>
      </c>
      <c r="S336" s="18">
        <f t="shared" si="17"/>
        <v>3565.2799999999997</v>
      </c>
    </row>
    <row r="337" spans="1:19" x14ac:dyDescent="0.25">
      <c r="A337" s="45" t="s">
        <v>701</v>
      </c>
      <c r="B337" s="46" t="s">
        <v>700</v>
      </c>
      <c r="C337" s="46">
        <v>211</v>
      </c>
      <c r="D337" s="24" t="s">
        <v>627</v>
      </c>
      <c r="E337" s="24" t="s">
        <v>19</v>
      </c>
      <c r="F337" s="47">
        <v>41643</v>
      </c>
      <c r="G337" s="38">
        <v>83.5</v>
      </c>
      <c r="H337" s="24"/>
      <c r="I337" s="139"/>
      <c r="J337" s="24"/>
      <c r="K337" s="35"/>
      <c r="L337" s="9"/>
      <c r="M337" s="9"/>
      <c r="N337" s="9"/>
      <c r="O337" s="9"/>
      <c r="P337" s="9"/>
      <c r="Q337" s="18">
        <f t="shared" ref="Q337:Q400" si="18">+G337+I337+K337+M337+O337</f>
        <v>83.5</v>
      </c>
      <c r="R337" s="18">
        <f t="shared" ref="R337:R400" si="19">+H337+J337+L337+N337+P337</f>
        <v>0</v>
      </c>
      <c r="S337" s="18">
        <f t="shared" ref="S337:S400" si="20">+Q337+R337</f>
        <v>83.5</v>
      </c>
    </row>
    <row r="338" spans="1:19" x14ac:dyDescent="0.25">
      <c r="A338" s="45" t="s">
        <v>701</v>
      </c>
      <c r="B338" s="46" t="s">
        <v>700</v>
      </c>
      <c r="C338" s="46">
        <v>211</v>
      </c>
      <c r="D338" s="24" t="s">
        <v>628</v>
      </c>
      <c r="E338" s="24" t="s">
        <v>19</v>
      </c>
      <c r="F338" s="47">
        <v>41643</v>
      </c>
      <c r="G338" s="38">
        <v>117</v>
      </c>
      <c r="H338" s="24"/>
      <c r="I338" s="139"/>
      <c r="J338" s="24"/>
      <c r="K338" s="35"/>
      <c r="L338" s="9"/>
      <c r="M338" s="9"/>
      <c r="N338" s="9"/>
      <c r="O338" s="9"/>
      <c r="P338" s="9"/>
      <c r="Q338" s="18">
        <f t="shared" si="18"/>
        <v>117</v>
      </c>
      <c r="R338" s="18">
        <f t="shared" si="19"/>
        <v>0</v>
      </c>
      <c r="S338" s="18">
        <f t="shared" si="20"/>
        <v>117</v>
      </c>
    </row>
    <row r="339" spans="1:19" x14ac:dyDescent="0.25">
      <c r="A339" s="45" t="s">
        <v>702</v>
      </c>
      <c r="B339" s="46" t="s">
        <v>703</v>
      </c>
      <c r="C339" s="46">
        <v>212</v>
      </c>
      <c r="D339" s="24" t="s">
        <v>629</v>
      </c>
      <c r="E339" s="24" t="s">
        <v>19</v>
      </c>
      <c r="F339" s="47">
        <v>41653</v>
      </c>
      <c r="G339" s="38">
        <v>215.2</v>
      </c>
      <c r="H339" s="24"/>
      <c r="I339" s="139"/>
      <c r="J339" s="24"/>
      <c r="K339" s="35"/>
      <c r="L339" s="9"/>
      <c r="M339" s="9"/>
      <c r="N339" s="9"/>
      <c r="O339" s="9"/>
      <c r="P339" s="9"/>
      <c r="Q339" s="18">
        <f t="shared" si="18"/>
        <v>215.2</v>
      </c>
      <c r="R339" s="18">
        <f t="shared" si="19"/>
        <v>0</v>
      </c>
      <c r="S339" s="18">
        <f t="shared" si="20"/>
        <v>215.2</v>
      </c>
    </row>
    <row r="340" spans="1:19" x14ac:dyDescent="0.25">
      <c r="A340" s="45" t="s">
        <v>704</v>
      </c>
      <c r="B340" s="46" t="s">
        <v>705</v>
      </c>
      <c r="C340" s="46">
        <v>213</v>
      </c>
      <c r="D340" s="24" t="s">
        <v>630</v>
      </c>
      <c r="E340" s="24" t="s">
        <v>19</v>
      </c>
      <c r="F340" s="47">
        <v>41654</v>
      </c>
      <c r="G340" s="38">
        <v>145.19999999999999</v>
      </c>
      <c r="H340" s="24"/>
      <c r="I340" s="139"/>
      <c r="J340" s="24"/>
      <c r="K340" s="35"/>
      <c r="L340" s="9"/>
      <c r="M340" s="9"/>
      <c r="N340" s="9"/>
      <c r="O340" s="9"/>
      <c r="P340" s="9"/>
      <c r="Q340" s="18">
        <f t="shared" si="18"/>
        <v>145.19999999999999</v>
      </c>
      <c r="R340" s="18">
        <f t="shared" si="19"/>
        <v>0</v>
      </c>
      <c r="S340" s="18">
        <f t="shared" si="20"/>
        <v>145.19999999999999</v>
      </c>
    </row>
    <row r="341" spans="1:19" x14ac:dyDescent="0.25">
      <c r="A341" s="45" t="s">
        <v>706</v>
      </c>
      <c r="B341" s="46" t="s">
        <v>707</v>
      </c>
      <c r="C341" s="46">
        <v>214</v>
      </c>
      <c r="D341" s="24" t="s">
        <v>631</v>
      </c>
      <c r="E341" s="24" t="s">
        <v>19</v>
      </c>
      <c r="F341" s="47">
        <v>41662</v>
      </c>
      <c r="G341" s="38">
        <v>115.88</v>
      </c>
      <c r="H341" s="24"/>
      <c r="I341" s="139"/>
      <c r="J341" s="24"/>
      <c r="K341" s="35"/>
      <c r="L341" s="9"/>
      <c r="M341" s="9"/>
      <c r="N341" s="9"/>
      <c r="O341" s="9"/>
      <c r="P341" s="9"/>
      <c r="Q341" s="18">
        <f t="shared" si="18"/>
        <v>115.88</v>
      </c>
      <c r="R341" s="18">
        <f t="shared" si="19"/>
        <v>0</v>
      </c>
      <c r="S341" s="18">
        <f t="shared" si="20"/>
        <v>115.88</v>
      </c>
    </row>
    <row r="342" spans="1:19" x14ac:dyDescent="0.25">
      <c r="A342" s="45" t="s">
        <v>708</v>
      </c>
      <c r="B342" s="46" t="s">
        <v>709</v>
      </c>
      <c r="C342" s="46">
        <v>215</v>
      </c>
      <c r="D342" s="24" t="s">
        <v>632</v>
      </c>
      <c r="E342" s="24" t="s">
        <v>19</v>
      </c>
      <c r="F342" s="47">
        <v>41669</v>
      </c>
      <c r="G342" s="38">
        <v>179.6</v>
      </c>
      <c r="H342" s="24"/>
      <c r="I342" s="139"/>
      <c r="J342" s="24"/>
      <c r="K342" s="35"/>
      <c r="L342" s="9"/>
      <c r="M342" s="9"/>
      <c r="N342" s="9"/>
      <c r="O342" s="9"/>
      <c r="P342" s="9"/>
      <c r="Q342" s="18">
        <f t="shared" si="18"/>
        <v>179.6</v>
      </c>
      <c r="R342" s="18">
        <f t="shared" si="19"/>
        <v>0</v>
      </c>
      <c r="S342" s="18">
        <f t="shared" si="20"/>
        <v>179.6</v>
      </c>
    </row>
    <row r="343" spans="1:19" x14ac:dyDescent="0.25">
      <c r="A343" s="45" t="s">
        <v>711</v>
      </c>
      <c r="B343" s="46" t="s">
        <v>710</v>
      </c>
      <c r="C343" s="46">
        <v>216</v>
      </c>
      <c r="D343" s="24" t="s">
        <v>633</v>
      </c>
      <c r="E343" s="24" t="s">
        <v>19</v>
      </c>
      <c r="F343" s="47">
        <v>41671</v>
      </c>
      <c r="G343" s="38">
        <v>76.900000000000006</v>
      </c>
      <c r="H343" s="24"/>
      <c r="I343" s="139"/>
      <c r="J343" s="24"/>
      <c r="K343" s="35"/>
      <c r="L343" s="9"/>
      <c r="M343" s="9"/>
      <c r="N343" s="9"/>
      <c r="O343" s="9"/>
      <c r="P343" s="9"/>
      <c r="Q343" s="18">
        <f t="shared" si="18"/>
        <v>76.900000000000006</v>
      </c>
      <c r="R343" s="18">
        <f t="shared" si="19"/>
        <v>0</v>
      </c>
      <c r="S343" s="18">
        <f t="shared" si="20"/>
        <v>76.900000000000006</v>
      </c>
    </row>
    <row r="344" spans="1:19" x14ac:dyDescent="0.25">
      <c r="A344" s="45" t="s">
        <v>712</v>
      </c>
      <c r="B344" s="46" t="s">
        <v>713</v>
      </c>
      <c r="C344" s="46">
        <v>217</v>
      </c>
      <c r="D344" s="24" t="s">
        <v>634</v>
      </c>
      <c r="E344" s="24" t="s">
        <v>19</v>
      </c>
      <c r="F344" s="47">
        <v>41689</v>
      </c>
      <c r="G344" s="38">
        <v>144.43</v>
      </c>
      <c r="H344" s="24"/>
      <c r="I344" s="139"/>
      <c r="J344" s="24"/>
      <c r="K344" s="35"/>
      <c r="L344" s="9"/>
      <c r="M344" s="9"/>
      <c r="N344" s="9"/>
      <c r="O344" s="9"/>
      <c r="P344" s="9"/>
      <c r="Q344" s="18">
        <f t="shared" si="18"/>
        <v>144.43</v>
      </c>
      <c r="R344" s="18">
        <f t="shared" si="19"/>
        <v>0</v>
      </c>
      <c r="S344" s="18">
        <f t="shared" si="20"/>
        <v>144.43</v>
      </c>
    </row>
    <row r="345" spans="1:19" x14ac:dyDescent="0.25">
      <c r="A345" s="45" t="s">
        <v>714</v>
      </c>
      <c r="B345" s="46" t="s">
        <v>715</v>
      </c>
      <c r="C345" s="46">
        <v>218</v>
      </c>
      <c r="D345" s="24" t="s">
        <v>635</v>
      </c>
      <c r="E345" s="24" t="s">
        <v>19</v>
      </c>
      <c r="F345" s="47">
        <v>41694</v>
      </c>
      <c r="G345" s="38">
        <v>107.8</v>
      </c>
      <c r="H345" s="24"/>
      <c r="I345" s="139"/>
      <c r="J345" s="24"/>
      <c r="K345" s="35"/>
      <c r="L345" s="9"/>
      <c r="M345" s="9"/>
      <c r="N345" s="9"/>
      <c r="O345" s="9"/>
      <c r="P345" s="9"/>
      <c r="Q345" s="18">
        <f t="shared" si="18"/>
        <v>107.8</v>
      </c>
      <c r="R345" s="18">
        <f t="shared" si="19"/>
        <v>0</v>
      </c>
      <c r="S345" s="18">
        <f t="shared" si="20"/>
        <v>107.8</v>
      </c>
    </row>
    <row r="346" spans="1:19" x14ac:dyDescent="0.25">
      <c r="A346" s="45" t="s">
        <v>716</v>
      </c>
      <c r="B346" s="46" t="s">
        <v>717</v>
      </c>
      <c r="C346" s="46">
        <v>219</v>
      </c>
      <c r="D346" s="24" t="s">
        <v>636</v>
      </c>
      <c r="E346" s="24" t="s">
        <v>19</v>
      </c>
      <c r="F346" s="47">
        <v>41698</v>
      </c>
      <c r="G346" s="38">
        <v>268.5</v>
      </c>
      <c r="H346" s="24"/>
      <c r="I346" s="139"/>
      <c r="J346" s="24"/>
      <c r="K346" s="35"/>
      <c r="L346" s="9"/>
      <c r="M346" s="9"/>
      <c r="N346" s="9"/>
      <c r="O346" s="9"/>
      <c r="P346" s="9"/>
      <c r="Q346" s="18">
        <f t="shared" si="18"/>
        <v>268.5</v>
      </c>
      <c r="R346" s="18">
        <f t="shared" si="19"/>
        <v>0</v>
      </c>
      <c r="S346" s="18">
        <f t="shared" si="20"/>
        <v>268.5</v>
      </c>
    </row>
    <row r="347" spans="1:19" x14ac:dyDescent="0.25">
      <c r="A347" s="45" t="s">
        <v>718</v>
      </c>
      <c r="B347" s="46" t="s">
        <v>719</v>
      </c>
      <c r="C347" s="46">
        <v>220</v>
      </c>
      <c r="D347" s="24" t="s">
        <v>637</v>
      </c>
      <c r="E347" s="24" t="s">
        <v>19</v>
      </c>
      <c r="F347" s="47">
        <v>41701</v>
      </c>
      <c r="G347" s="38">
        <v>92.61</v>
      </c>
      <c r="H347" s="24"/>
      <c r="I347" s="139"/>
      <c r="J347" s="24"/>
      <c r="K347" s="35"/>
      <c r="L347" s="9"/>
      <c r="M347" s="9"/>
      <c r="N347" s="9"/>
      <c r="O347" s="9"/>
      <c r="P347" s="9"/>
      <c r="Q347" s="18">
        <f t="shared" si="18"/>
        <v>92.61</v>
      </c>
      <c r="R347" s="18">
        <f t="shared" si="19"/>
        <v>0</v>
      </c>
      <c r="S347" s="18">
        <f t="shared" si="20"/>
        <v>92.61</v>
      </c>
    </row>
    <row r="348" spans="1:19" x14ac:dyDescent="0.25">
      <c r="A348" s="45" t="s">
        <v>721</v>
      </c>
      <c r="B348" s="46" t="s">
        <v>720</v>
      </c>
      <c r="C348" s="46">
        <v>221</v>
      </c>
      <c r="D348" s="24" t="s">
        <v>638</v>
      </c>
      <c r="E348" s="24" t="s">
        <v>19</v>
      </c>
      <c r="F348" s="47">
        <v>41711</v>
      </c>
      <c r="G348" s="38">
        <v>109</v>
      </c>
      <c r="H348" s="24"/>
      <c r="I348" s="139"/>
      <c r="J348" s="24"/>
      <c r="K348" s="35"/>
      <c r="L348" s="9"/>
      <c r="M348" s="9"/>
      <c r="N348" s="9"/>
      <c r="O348" s="9"/>
      <c r="P348" s="9"/>
      <c r="Q348" s="18">
        <f t="shared" si="18"/>
        <v>109</v>
      </c>
      <c r="R348" s="18">
        <f t="shared" si="19"/>
        <v>0</v>
      </c>
      <c r="S348" s="18">
        <f t="shared" si="20"/>
        <v>109</v>
      </c>
    </row>
    <row r="349" spans="1:19" x14ac:dyDescent="0.25">
      <c r="A349" s="45" t="s">
        <v>722</v>
      </c>
      <c r="B349" s="46" t="s">
        <v>723</v>
      </c>
      <c r="C349" s="46">
        <v>222</v>
      </c>
      <c r="D349" s="24" t="s">
        <v>639</v>
      </c>
      <c r="E349" s="24" t="s">
        <v>19</v>
      </c>
      <c r="F349" s="47">
        <v>41712</v>
      </c>
      <c r="G349" s="38">
        <v>97.4</v>
      </c>
      <c r="H349" s="24"/>
      <c r="I349" s="139"/>
      <c r="J349" s="24"/>
      <c r="K349" s="35"/>
      <c r="L349" s="9"/>
      <c r="M349" s="9"/>
      <c r="N349" s="9"/>
      <c r="O349" s="9"/>
      <c r="P349" s="9"/>
      <c r="Q349" s="18">
        <f t="shared" si="18"/>
        <v>97.4</v>
      </c>
      <c r="R349" s="18">
        <f t="shared" si="19"/>
        <v>0</v>
      </c>
      <c r="S349" s="18">
        <f t="shared" si="20"/>
        <v>97.4</v>
      </c>
    </row>
    <row r="350" spans="1:19" x14ac:dyDescent="0.25">
      <c r="A350" s="45" t="s">
        <v>724</v>
      </c>
      <c r="B350" s="46" t="s">
        <v>725</v>
      </c>
      <c r="C350" s="46">
        <v>223</v>
      </c>
      <c r="D350" s="24" t="s">
        <v>640</v>
      </c>
      <c r="E350" s="24" t="s">
        <v>19</v>
      </c>
      <c r="F350" s="47">
        <v>41723</v>
      </c>
      <c r="G350" s="38">
        <v>206.13</v>
      </c>
      <c r="H350" s="24"/>
      <c r="I350" s="139"/>
      <c r="J350" s="24"/>
      <c r="K350" s="35"/>
      <c r="L350" s="9"/>
      <c r="M350" s="9"/>
      <c r="N350" s="9"/>
      <c r="O350" s="9"/>
      <c r="P350" s="9"/>
      <c r="Q350" s="18">
        <f t="shared" si="18"/>
        <v>206.13</v>
      </c>
      <c r="R350" s="18">
        <f t="shared" si="19"/>
        <v>0</v>
      </c>
      <c r="S350" s="18">
        <f t="shared" si="20"/>
        <v>206.13</v>
      </c>
    </row>
    <row r="351" spans="1:19" x14ac:dyDescent="0.25">
      <c r="A351" s="45" t="s">
        <v>726</v>
      </c>
      <c r="B351" s="46" t="s">
        <v>727</v>
      </c>
      <c r="C351" s="46">
        <v>224</v>
      </c>
      <c r="D351" s="24" t="s">
        <v>641</v>
      </c>
      <c r="E351" s="24" t="s">
        <v>19</v>
      </c>
      <c r="F351" s="47">
        <v>41727</v>
      </c>
      <c r="G351" s="38">
        <v>359.03</v>
      </c>
      <c r="H351" s="24"/>
      <c r="I351" s="139"/>
      <c r="J351" s="24"/>
      <c r="K351" s="35"/>
      <c r="L351" s="9"/>
      <c r="M351" s="9"/>
      <c r="N351" s="9"/>
      <c r="O351" s="9"/>
      <c r="P351" s="9"/>
      <c r="Q351" s="18">
        <f t="shared" si="18"/>
        <v>359.03</v>
      </c>
      <c r="R351" s="18">
        <f t="shared" si="19"/>
        <v>0</v>
      </c>
      <c r="S351" s="18">
        <f t="shared" si="20"/>
        <v>359.03</v>
      </c>
    </row>
    <row r="352" spans="1:19" x14ac:dyDescent="0.25">
      <c r="A352" s="45" t="s">
        <v>728</v>
      </c>
      <c r="B352" s="46" t="s">
        <v>729</v>
      </c>
      <c r="C352" s="46">
        <v>225</v>
      </c>
      <c r="D352" s="24" t="s">
        <v>642</v>
      </c>
      <c r="E352" s="24" t="s">
        <v>19</v>
      </c>
      <c r="F352" s="47">
        <v>41739</v>
      </c>
      <c r="G352" s="38">
        <v>47.2</v>
      </c>
      <c r="H352" s="24"/>
      <c r="I352" s="139"/>
      <c r="J352" s="24"/>
      <c r="K352" s="35"/>
      <c r="L352" s="9"/>
      <c r="M352" s="9"/>
      <c r="N352" s="9"/>
      <c r="O352" s="9"/>
      <c r="P352" s="9"/>
      <c r="Q352" s="18">
        <f t="shared" si="18"/>
        <v>47.2</v>
      </c>
      <c r="R352" s="18">
        <f t="shared" si="19"/>
        <v>0</v>
      </c>
      <c r="S352" s="18">
        <f t="shared" si="20"/>
        <v>47.2</v>
      </c>
    </row>
    <row r="353" spans="1:19" x14ac:dyDescent="0.25">
      <c r="A353" s="45" t="s">
        <v>728</v>
      </c>
      <c r="B353" s="46" t="s">
        <v>729</v>
      </c>
      <c r="C353" s="46">
        <v>225</v>
      </c>
      <c r="D353" s="24" t="s">
        <v>643</v>
      </c>
      <c r="E353" s="24" t="s">
        <v>19</v>
      </c>
      <c r="F353" s="47">
        <v>41739</v>
      </c>
      <c r="G353" s="38">
        <v>51.73</v>
      </c>
      <c r="H353" s="24"/>
      <c r="I353" s="139"/>
      <c r="J353" s="24"/>
      <c r="K353" s="35"/>
      <c r="L353" s="9"/>
      <c r="M353" s="9"/>
      <c r="N353" s="9"/>
      <c r="O353" s="9"/>
      <c r="P353" s="9"/>
      <c r="Q353" s="18">
        <f t="shared" si="18"/>
        <v>51.73</v>
      </c>
      <c r="R353" s="18">
        <f t="shared" si="19"/>
        <v>0</v>
      </c>
      <c r="S353" s="18">
        <f t="shared" si="20"/>
        <v>51.73</v>
      </c>
    </row>
    <row r="354" spans="1:19" x14ac:dyDescent="0.25">
      <c r="A354" s="45" t="s">
        <v>728</v>
      </c>
      <c r="B354" s="46" t="s">
        <v>729</v>
      </c>
      <c r="C354" s="46">
        <v>225</v>
      </c>
      <c r="D354" s="24" t="s">
        <v>644</v>
      </c>
      <c r="E354" s="24" t="s">
        <v>19</v>
      </c>
      <c r="F354" s="47">
        <v>41739</v>
      </c>
      <c r="G354" s="38">
        <v>47.2</v>
      </c>
      <c r="H354" s="24"/>
      <c r="I354" s="139"/>
      <c r="J354" s="24"/>
      <c r="K354" s="35"/>
      <c r="L354" s="9"/>
      <c r="M354" s="9"/>
      <c r="N354" s="9"/>
      <c r="O354" s="9"/>
      <c r="P354" s="9"/>
      <c r="Q354" s="18">
        <f t="shared" si="18"/>
        <v>47.2</v>
      </c>
      <c r="R354" s="18">
        <f t="shared" si="19"/>
        <v>0</v>
      </c>
      <c r="S354" s="18">
        <f t="shared" si="20"/>
        <v>47.2</v>
      </c>
    </row>
    <row r="355" spans="1:19" x14ac:dyDescent="0.25">
      <c r="A355" s="45" t="s">
        <v>728</v>
      </c>
      <c r="B355" s="46" t="s">
        <v>729</v>
      </c>
      <c r="C355" s="46">
        <v>225</v>
      </c>
      <c r="D355" s="24" t="s">
        <v>645</v>
      </c>
      <c r="E355" s="24" t="s">
        <v>19</v>
      </c>
      <c r="F355" s="47">
        <v>41739</v>
      </c>
      <c r="G355" s="38">
        <v>51.33</v>
      </c>
      <c r="H355" s="24"/>
      <c r="I355" s="139"/>
      <c r="J355" s="24"/>
      <c r="K355" s="35"/>
      <c r="L355" s="9"/>
      <c r="M355" s="9"/>
      <c r="N355" s="9"/>
      <c r="O355" s="9"/>
      <c r="P355" s="9"/>
      <c r="Q355" s="18">
        <f t="shared" si="18"/>
        <v>51.33</v>
      </c>
      <c r="R355" s="18">
        <f t="shared" si="19"/>
        <v>0</v>
      </c>
      <c r="S355" s="18">
        <f t="shared" si="20"/>
        <v>51.33</v>
      </c>
    </row>
    <row r="356" spans="1:19" x14ac:dyDescent="0.25">
      <c r="A356" s="45" t="s">
        <v>730</v>
      </c>
      <c r="B356" s="46" t="s">
        <v>731</v>
      </c>
      <c r="C356" s="46">
        <v>226</v>
      </c>
      <c r="D356" s="24" t="s">
        <v>646</v>
      </c>
      <c r="E356" s="24" t="s">
        <v>19</v>
      </c>
      <c r="F356" s="47">
        <v>41759</v>
      </c>
      <c r="G356" s="38">
        <v>420.13</v>
      </c>
      <c r="H356" s="24"/>
      <c r="I356" s="139"/>
      <c r="J356" s="24"/>
      <c r="K356" s="35"/>
      <c r="L356" s="9"/>
      <c r="M356" s="9"/>
      <c r="N356" s="9"/>
      <c r="O356" s="9"/>
      <c r="P356" s="9"/>
      <c r="Q356" s="18">
        <f t="shared" si="18"/>
        <v>420.13</v>
      </c>
      <c r="R356" s="18">
        <f t="shared" si="19"/>
        <v>0</v>
      </c>
      <c r="S356" s="18">
        <f t="shared" si="20"/>
        <v>420.13</v>
      </c>
    </row>
    <row r="357" spans="1:19" x14ac:dyDescent="0.25">
      <c r="A357" s="45" t="s">
        <v>732</v>
      </c>
      <c r="B357" s="46" t="s">
        <v>734</v>
      </c>
      <c r="C357" s="46">
        <v>227</v>
      </c>
      <c r="D357" s="24" t="s">
        <v>647</v>
      </c>
      <c r="E357" s="24" t="s">
        <v>19</v>
      </c>
      <c r="F357" s="47">
        <v>41769</v>
      </c>
      <c r="G357" s="26">
        <f>113.63+190.58+113.63+78.19+113.63+41.3+178.6</f>
        <v>829.56000000000006</v>
      </c>
      <c r="H357" s="24"/>
      <c r="I357" s="139">
        <f>1875</f>
        <v>1875</v>
      </c>
      <c r="J357" s="24"/>
      <c r="K357" s="35"/>
      <c r="L357" s="9"/>
      <c r="M357" s="9"/>
      <c r="N357" s="9"/>
      <c r="O357" s="9"/>
      <c r="P357" s="9"/>
      <c r="Q357" s="18">
        <f t="shared" si="18"/>
        <v>2704.56</v>
      </c>
      <c r="R357" s="18">
        <f t="shared" si="19"/>
        <v>0</v>
      </c>
      <c r="S357" s="18">
        <f t="shared" si="20"/>
        <v>2704.56</v>
      </c>
    </row>
    <row r="358" spans="1:19" x14ac:dyDescent="0.25">
      <c r="A358" s="45" t="s">
        <v>735</v>
      </c>
      <c r="B358" s="46" t="s">
        <v>733</v>
      </c>
      <c r="C358" s="46">
        <v>228</v>
      </c>
      <c r="D358" s="24" t="s">
        <v>648</v>
      </c>
      <c r="E358" s="24" t="s">
        <v>19</v>
      </c>
      <c r="F358" s="47">
        <v>41802</v>
      </c>
      <c r="G358" s="38">
        <f>108.06+240</f>
        <v>348.06</v>
      </c>
      <c r="H358" s="24"/>
      <c r="I358" s="139">
        <f>12*25</f>
        <v>300</v>
      </c>
      <c r="J358" s="24"/>
      <c r="K358" s="35"/>
      <c r="L358" s="9"/>
      <c r="M358" s="9"/>
      <c r="N358" s="9"/>
      <c r="O358" s="9"/>
      <c r="P358" s="9"/>
      <c r="Q358" s="18">
        <f t="shared" si="18"/>
        <v>648.05999999999995</v>
      </c>
      <c r="R358" s="18">
        <f t="shared" si="19"/>
        <v>0</v>
      </c>
      <c r="S358" s="18">
        <f t="shared" si="20"/>
        <v>648.05999999999995</v>
      </c>
    </row>
    <row r="359" spans="1:19" x14ac:dyDescent="0.25">
      <c r="A359" s="45" t="s">
        <v>735</v>
      </c>
      <c r="B359" s="46" t="s">
        <v>733</v>
      </c>
      <c r="C359" s="46">
        <v>228</v>
      </c>
      <c r="D359" s="24" t="s">
        <v>649</v>
      </c>
      <c r="E359" s="24" t="s">
        <v>19</v>
      </c>
      <c r="F359" s="47">
        <v>41802</v>
      </c>
      <c r="G359" s="38">
        <v>93.9</v>
      </c>
      <c r="H359" s="24"/>
      <c r="I359" s="139"/>
      <c r="J359" s="24"/>
      <c r="K359" s="35"/>
      <c r="L359" s="9"/>
      <c r="M359" s="9"/>
      <c r="N359" s="9"/>
      <c r="O359" s="9"/>
      <c r="P359" s="9"/>
      <c r="Q359" s="18">
        <f t="shared" si="18"/>
        <v>93.9</v>
      </c>
      <c r="R359" s="18">
        <f t="shared" si="19"/>
        <v>0</v>
      </c>
      <c r="S359" s="18">
        <f t="shared" si="20"/>
        <v>93.9</v>
      </c>
    </row>
    <row r="360" spans="1:19" x14ac:dyDescent="0.25">
      <c r="A360" s="45" t="s">
        <v>736</v>
      </c>
      <c r="B360" s="46" t="s">
        <v>737</v>
      </c>
      <c r="C360" s="46">
        <v>229</v>
      </c>
      <c r="D360" s="24" t="s">
        <v>650</v>
      </c>
      <c r="E360" s="24" t="s">
        <v>19</v>
      </c>
      <c r="F360" s="47">
        <v>41802</v>
      </c>
      <c r="G360" s="38">
        <f>36.75+18.14+52.35+48+112.84+348.1</f>
        <v>616.18000000000006</v>
      </c>
      <c r="H360" s="24"/>
      <c r="I360" s="139"/>
      <c r="J360" s="24"/>
      <c r="K360" s="35"/>
      <c r="L360" s="9"/>
      <c r="M360" s="9"/>
      <c r="N360" s="9"/>
      <c r="O360" s="9"/>
      <c r="P360" s="9"/>
      <c r="Q360" s="18">
        <f t="shared" si="18"/>
        <v>616.18000000000006</v>
      </c>
      <c r="R360" s="18">
        <f t="shared" si="19"/>
        <v>0</v>
      </c>
      <c r="S360" s="18">
        <f t="shared" si="20"/>
        <v>616.18000000000006</v>
      </c>
    </row>
    <row r="361" spans="1:19" x14ac:dyDescent="0.25">
      <c r="A361" s="45" t="s">
        <v>738</v>
      </c>
      <c r="B361" s="46" t="s">
        <v>739</v>
      </c>
      <c r="C361" s="46">
        <v>230</v>
      </c>
      <c r="D361" s="24" t="s">
        <v>740</v>
      </c>
      <c r="E361" s="24" t="s">
        <v>19</v>
      </c>
      <c r="F361" s="47">
        <v>41805</v>
      </c>
      <c r="G361" s="29">
        <f>41.3+41.3+41.3</f>
        <v>123.89999999999999</v>
      </c>
      <c r="H361" s="24"/>
      <c r="I361" s="139"/>
      <c r="J361" s="24"/>
      <c r="K361" s="35"/>
      <c r="L361" s="9"/>
      <c r="M361" s="9"/>
      <c r="N361" s="9"/>
      <c r="O361" s="9"/>
      <c r="P361" s="9"/>
      <c r="Q361" s="18">
        <f t="shared" si="18"/>
        <v>123.89999999999999</v>
      </c>
      <c r="R361" s="18">
        <f t="shared" si="19"/>
        <v>0</v>
      </c>
      <c r="S361" s="18">
        <f t="shared" si="20"/>
        <v>123.89999999999999</v>
      </c>
    </row>
    <row r="362" spans="1:19" x14ac:dyDescent="0.25">
      <c r="A362" s="45" t="s">
        <v>741</v>
      </c>
      <c r="B362" s="46" t="s">
        <v>742</v>
      </c>
      <c r="C362" s="46">
        <v>231</v>
      </c>
      <c r="D362" s="24" t="s">
        <v>651</v>
      </c>
      <c r="E362" s="24" t="s">
        <v>19</v>
      </c>
      <c r="F362" s="47">
        <v>41810</v>
      </c>
      <c r="G362" s="38">
        <f>41.3+69.12+76.1</f>
        <v>186.51999999999998</v>
      </c>
      <c r="H362" s="24"/>
      <c r="I362" s="139"/>
      <c r="J362" s="24"/>
      <c r="K362" s="35"/>
      <c r="L362" s="9"/>
      <c r="M362" s="9"/>
      <c r="N362" s="9"/>
      <c r="O362" s="9"/>
      <c r="P362" s="9"/>
      <c r="Q362" s="18">
        <f t="shared" si="18"/>
        <v>186.51999999999998</v>
      </c>
      <c r="R362" s="18">
        <f t="shared" si="19"/>
        <v>0</v>
      </c>
      <c r="S362" s="18">
        <f t="shared" si="20"/>
        <v>186.51999999999998</v>
      </c>
    </row>
    <row r="363" spans="1:19" x14ac:dyDescent="0.25">
      <c r="A363" s="45" t="s">
        <v>741</v>
      </c>
      <c r="B363" s="46" t="s">
        <v>742</v>
      </c>
      <c r="C363" s="46">
        <v>231</v>
      </c>
      <c r="D363" s="24" t="s">
        <v>652</v>
      </c>
      <c r="E363" s="24" t="s">
        <v>19</v>
      </c>
      <c r="F363" s="47">
        <v>41810</v>
      </c>
      <c r="G363" s="38">
        <f>69.12+62+83.5</f>
        <v>214.62</v>
      </c>
      <c r="H363" s="24"/>
      <c r="I363" s="139"/>
      <c r="J363" s="24"/>
      <c r="K363" s="35"/>
      <c r="L363" s="9"/>
      <c r="M363" s="9"/>
      <c r="N363" s="9"/>
      <c r="O363" s="9"/>
      <c r="P363" s="9"/>
      <c r="Q363" s="18">
        <f t="shared" si="18"/>
        <v>214.62</v>
      </c>
      <c r="R363" s="18">
        <f t="shared" si="19"/>
        <v>0</v>
      </c>
      <c r="S363" s="18">
        <f t="shared" si="20"/>
        <v>214.62</v>
      </c>
    </row>
    <row r="364" spans="1:19" x14ac:dyDescent="0.25">
      <c r="A364" s="45" t="s">
        <v>743</v>
      </c>
      <c r="B364" s="46" t="s">
        <v>744</v>
      </c>
      <c r="C364" s="46">
        <v>232</v>
      </c>
      <c r="D364" s="24" t="s">
        <v>653</v>
      </c>
      <c r="E364" s="24" t="s">
        <v>19</v>
      </c>
      <c r="F364" s="47">
        <v>41811</v>
      </c>
      <c r="G364" s="29">
        <f>48</f>
        <v>48</v>
      </c>
      <c r="H364" s="24"/>
      <c r="I364" s="139"/>
      <c r="J364" s="24"/>
      <c r="K364" s="35"/>
      <c r="L364" s="9"/>
      <c r="M364" s="9"/>
      <c r="N364" s="9"/>
      <c r="O364" s="9"/>
      <c r="P364" s="9"/>
      <c r="Q364" s="18">
        <f t="shared" si="18"/>
        <v>48</v>
      </c>
      <c r="R364" s="18">
        <f t="shared" si="19"/>
        <v>0</v>
      </c>
      <c r="S364" s="18">
        <f t="shared" si="20"/>
        <v>48</v>
      </c>
    </row>
    <row r="365" spans="1:19" x14ac:dyDescent="0.25">
      <c r="A365" s="45" t="s">
        <v>743</v>
      </c>
      <c r="B365" s="46" t="s">
        <v>744</v>
      </c>
      <c r="C365" s="46">
        <v>232</v>
      </c>
      <c r="D365" s="24" t="s">
        <v>654</v>
      </c>
      <c r="E365" s="24" t="s">
        <v>19</v>
      </c>
      <c r="F365" s="47">
        <v>41811</v>
      </c>
      <c r="G365" s="29"/>
      <c r="H365" s="24"/>
      <c r="I365" s="139"/>
      <c r="J365" s="24"/>
      <c r="K365" s="35"/>
      <c r="L365" s="9"/>
      <c r="M365" s="9"/>
      <c r="N365" s="9"/>
      <c r="O365" s="9"/>
      <c r="P365" s="9"/>
      <c r="Q365" s="18">
        <f t="shared" si="18"/>
        <v>0</v>
      </c>
      <c r="R365" s="18">
        <f t="shared" si="19"/>
        <v>0</v>
      </c>
      <c r="S365" s="18">
        <f t="shared" si="20"/>
        <v>0</v>
      </c>
    </row>
    <row r="366" spans="1:19" x14ac:dyDescent="0.25">
      <c r="A366" s="45" t="s">
        <v>743</v>
      </c>
      <c r="B366" s="46" t="s">
        <v>744</v>
      </c>
      <c r="C366" s="46">
        <v>232</v>
      </c>
      <c r="D366" s="24" t="s">
        <v>655</v>
      </c>
      <c r="E366" s="24" t="s">
        <v>19</v>
      </c>
      <c r="F366" s="47">
        <v>41811</v>
      </c>
      <c r="G366" s="29">
        <f>41.1</f>
        <v>41.1</v>
      </c>
      <c r="H366" s="24"/>
      <c r="I366" s="139"/>
      <c r="J366" s="24"/>
      <c r="K366" s="35"/>
      <c r="L366" s="9"/>
      <c r="M366" s="9"/>
      <c r="N366" s="9"/>
      <c r="O366" s="9"/>
      <c r="P366" s="9"/>
      <c r="Q366" s="18">
        <f t="shared" si="18"/>
        <v>41.1</v>
      </c>
      <c r="R366" s="18">
        <f t="shared" si="19"/>
        <v>0</v>
      </c>
      <c r="S366" s="18">
        <f t="shared" si="20"/>
        <v>41.1</v>
      </c>
    </row>
    <row r="367" spans="1:19" x14ac:dyDescent="0.25">
      <c r="A367" s="45" t="s">
        <v>743</v>
      </c>
      <c r="B367" s="46" t="s">
        <v>744</v>
      </c>
      <c r="C367" s="46">
        <v>232</v>
      </c>
      <c r="D367" s="24" t="s">
        <v>656</v>
      </c>
      <c r="E367" s="24" t="s">
        <v>19</v>
      </c>
      <c r="F367" s="47">
        <v>41811</v>
      </c>
      <c r="G367" s="29"/>
      <c r="H367" s="24"/>
      <c r="I367" s="139"/>
      <c r="J367" s="24"/>
      <c r="K367" s="35"/>
      <c r="L367" s="9"/>
      <c r="M367" s="9"/>
      <c r="N367" s="9"/>
      <c r="O367" s="9"/>
      <c r="P367" s="9"/>
      <c r="Q367" s="18">
        <f t="shared" si="18"/>
        <v>0</v>
      </c>
      <c r="R367" s="18">
        <f t="shared" si="19"/>
        <v>0</v>
      </c>
      <c r="S367" s="18">
        <f t="shared" si="20"/>
        <v>0</v>
      </c>
    </row>
    <row r="368" spans="1:19" x14ac:dyDescent="0.25">
      <c r="A368" s="45" t="s">
        <v>745</v>
      </c>
      <c r="B368" s="46" t="s">
        <v>746</v>
      </c>
      <c r="C368" s="46">
        <v>233</v>
      </c>
      <c r="D368" s="24" t="s">
        <v>657</v>
      </c>
      <c r="E368" s="24" t="s">
        <v>19</v>
      </c>
      <c r="F368" s="47">
        <v>41811</v>
      </c>
      <c r="G368" s="29">
        <f>105.8</f>
        <v>105.8</v>
      </c>
      <c r="H368" s="24"/>
      <c r="I368" s="139"/>
      <c r="J368" s="24"/>
      <c r="K368" s="35"/>
      <c r="L368" s="9"/>
      <c r="M368" s="9"/>
      <c r="N368" s="9"/>
      <c r="O368" s="9"/>
      <c r="P368" s="9"/>
      <c r="Q368" s="18">
        <f t="shared" si="18"/>
        <v>105.8</v>
      </c>
      <c r="R368" s="18">
        <f t="shared" si="19"/>
        <v>0</v>
      </c>
      <c r="S368" s="18">
        <f t="shared" si="20"/>
        <v>105.8</v>
      </c>
    </row>
    <row r="369" spans="1:19" x14ac:dyDescent="0.25">
      <c r="A369" s="45" t="s">
        <v>745</v>
      </c>
      <c r="B369" s="46" t="s">
        <v>746</v>
      </c>
      <c r="C369" s="46">
        <v>233</v>
      </c>
      <c r="D369" s="24" t="s">
        <v>658</v>
      </c>
      <c r="E369" s="24" t="s">
        <v>19</v>
      </c>
      <c r="F369" s="47">
        <v>41811</v>
      </c>
      <c r="G369" s="29">
        <f>105.8</f>
        <v>105.8</v>
      </c>
      <c r="H369" s="24"/>
      <c r="I369" s="139"/>
      <c r="J369" s="24"/>
      <c r="K369" s="35"/>
      <c r="L369" s="9"/>
      <c r="M369" s="9"/>
      <c r="N369" s="9"/>
      <c r="O369" s="9"/>
      <c r="P369" s="9"/>
      <c r="Q369" s="18">
        <f t="shared" si="18"/>
        <v>105.8</v>
      </c>
      <c r="R369" s="18">
        <f t="shared" si="19"/>
        <v>0</v>
      </c>
      <c r="S369" s="18">
        <f t="shared" si="20"/>
        <v>105.8</v>
      </c>
    </row>
    <row r="370" spans="1:19" x14ac:dyDescent="0.25">
      <c r="A370" s="45" t="s">
        <v>747</v>
      </c>
      <c r="B370" s="46" t="s">
        <v>748</v>
      </c>
      <c r="C370" s="46">
        <v>234</v>
      </c>
      <c r="D370" s="24" t="s">
        <v>659</v>
      </c>
      <c r="E370" s="24" t="s">
        <v>19</v>
      </c>
      <c r="F370" s="47">
        <v>41812</v>
      </c>
      <c r="G370" s="38">
        <f>240+3468.49</f>
        <v>3708.49</v>
      </c>
      <c r="H370" s="48"/>
      <c r="I370" s="139"/>
      <c r="J370" s="24"/>
      <c r="K370" s="35"/>
      <c r="L370" s="9"/>
      <c r="M370" s="9">
        <v>3800</v>
      </c>
      <c r="N370" s="9"/>
      <c r="O370" s="9">
        <v>15200</v>
      </c>
      <c r="P370" s="9"/>
      <c r="Q370" s="18">
        <f t="shared" si="18"/>
        <v>22708.489999999998</v>
      </c>
      <c r="R370" s="18">
        <f t="shared" si="19"/>
        <v>0</v>
      </c>
      <c r="S370" s="18">
        <f t="shared" si="20"/>
        <v>22708.489999999998</v>
      </c>
    </row>
    <row r="371" spans="1:19" x14ac:dyDescent="0.25">
      <c r="A371" s="45" t="s">
        <v>749</v>
      </c>
      <c r="B371" s="46" t="s">
        <v>750</v>
      </c>
      <c r="C371" s="46">
        <v>235</v>
      </c>
      <c r="D371" s="24" t="s">
        <v>660</v>
      </c>
      <c r="E371" s="24" t="s">
        <v>19</v>
      </c>
      <c r="F371" s="47">
        <v>41811</v>
      </c>
      <c r="G371" s="38">
        <f>60.98+41.3+174+101.62+41.3+407.53</f>
        <v>826.73</v>
      </c>
      <c r="H371" s="48"/>
      <c r="I371" s="139">
        <v>500</v>
      </c>
      <c r="J371" s="24"/>
      <c r="K371" s="35"/>
      <c r="L371" s="9"/>
      <c r="M371" s="9"/>
      <c r="N371" s="9"/>
      <c r="O371" s="9"/>
      <c r="P371" s="9"/>
      <c r="Q371" s="18">
        <f t="shared" si="18"/>
        <v>1326.73</v>
      </c>
      <c r="R371" s="18">
        <f t="shared" si="19"/>
        <v>0</v>
      </c>
      <c r="S371" s="18">
        <f t="shared" si="20"/>
        <v>1326.73</v>
      </c>
    </row>
    <row r="372" spans="1:19" x14ac:dyDescent="0.25">
      <c r="A372" s="45" t="s">
        <v>749</v>
      </c>
      <c r="B372" s="46" t="s">
        <v>750</v>
      </c>
      <c r="C372" s="46">
        <v>235</v>
      </c>
      <c r="D372" s="24" t="s">
        <v>661</v>
      </c>
      <c r="E372" s="24" t="s">
        <v>19</v>
      </c>
      <c r="F372" s="47">
        <v>41811</v>
      </c>
      <c r="G372" s="29">
        <f>109.6</f>
        <v>109.6</v>
      </c>
      <c r="H372" s="24"/>
      <c r="I372" s="139"/>
      <c r="J372" s="24"/>
      <c r="K372" s="35"/>
      <c r="L372" s="9"/>
      <c r="M372" s="9"/>
      <c r="N372" s="9"/>
      <c r="O372" s="9"/>
      <c r="P372" s="9"/>
      <c r="Q372" s="18">
        <f t="shared" si="18"/>
        <v>109.6</v>
      </c>
      <c r="R372" s="18">
        <f t="shared" si="19"/>
        <v>0</v>
      </c>
      <c r="S372" s="18">
        <f t="shared" si="20"/>
        <v>109.6</v>
      </c>
    </row>
    <row r="373" spans="1:19" x14ac:dyDescent="0.25">
      <c r="A373" s="45" t="s">
        <v>749</v>
      </c>
      <c r="B373" s="46" t="s">
        <v>750</v>
      </c>
      <c r="C373" s="46">
        <v>235</v>
      </c>
      <c r="D373" s="24" t="s">
        <v>662</v>
      </c>
      <c r="E373" s="24" t="s">
        <v>19</v>
      </c>
      <c r="F373" s="47">
        <v>41811</v>
      </c>
      <c r="G373" s="29">
        <f>109.4</f>
        <v>109.4</v>
      </c>
      <c r="H373" s="24"/>
      <c r="I373" s="139"/>
      <c r="J373" s="24"/>
      <c r="K373" s="35"/>
      <c r="L373" s="9"/>
      <c r="M373" s="9"/>
      <c r="N373" s="9"/>
      <c r="O373" s="9"/>
      <c r="P373" s="9"/>
      <c r="Q373" s="18">
        <f t="shared" si="18"/>
        <v>109.4</v>
      </c>
      <c r="R373" s="18">
        <f t="shared" si="19"/>
        <v>0</v>
      </c>
      <c r="S373" s="18">
        <f t="shared" si="20"/>
        <v>109.4</v>
      </c>
    </row>
    <row r="374" spans="1:19" x14ac:dyDescent="0.25">
      <c r="A374" s="45" t="s">
        <v>749</v>
      </c>
      <c r="B374" s="46" t="s">
        <v>750</v>
      </c>
      <c r="C374" s="46">
        <v>235</v>
      </c>
      <c r="D374" s="24" t="s">
        <v>3120</v>
      </c>
      <c r="E374" s="24" t="s">
        <v>19</v>
      </c>
      <c r="F374" s="47">
        <v>41811</v>
      </c>
      <c r="G374" s="29">
        <f>110.5</f>
        <v>110.5</v>
      </c>
      <c r="H374" s="24"/>
      <c r="I374" s="139"/>
      <c r="J374" s="24"/>
      <c r="K374" s="35"/>
      <c r="L374" s="9"/>
      <c r="M374" s="9"/>
      <c r="N374" s="9"/>
      <c r="O374" s="9"/>
      <c r="P374" s="9"/>
      <c r="Q374" s="18">
        <f t="shared" si="18"/>
        <v>110.5</v>
      </c>
      <c r="R374" s="18">
        <f t="shared" si="19"/>
        <v>0</v>
      </c>
      <c r="S374" s="18">
        <f t="shared" si="20"/>
        <v>110.5</v>
      </c>
    </row>
    <row r="375" spans="1:19" x14ac:dyDescent="0.25">
      <c r="A375" s="45" t="s">
        <v>751</v>
      </c>
      <c r="B375" s="46" t="s">
        <v>752</v>
      </c>
      <c r="C375" s="46">
        <v>236</v>
      </c>
      <c r="D375" s="24" t="s">
        <v>663</v>
      </c>
      <c r="E375" s="24" t="s">
        <v>19</v>
      </c>
      <c r="F375" s="47">
        <v>41812</v>
      </c>
      <c r="G375" s="26">
        <f>56+117.91+134.04+148.21+83.6+65</f>
        <v>604.76</v>
      </c>
      <c r="H375" s="24"/>
      <c r="I375" s="139">
        <f>750+750</f>
        <v>1500</v>
      </c>
      <c r="J375" s="24"/>
      <c r="K375" s="35"/>
      <c r="L375" s="9"/>
      <c r="M375" s="9"/>
      <c r="N375" s="9"/>
      <c r="O375" s="9"/>
      <c r="P375" s="9"/>
      <c r="Q375" s="18">
        <f t="shared" si="18"/>
        <v>2104.7600000000002</v>
      </c>
      <c r="R375" s="18">
        <f t="shared" si="19"/>
        <v>0</v>
      </c>
      <c r="S375" s="18">
        <f t="shared" si="20"/>
        <v>2104.7600000000002</v>
      </c>
    </row>
    <row r="376" spans="1:19" x14ac:dyDescent="0.25">
      <c r="A376" s="45" t="s">
        <v>753</v>
      </c>
      <c r="B376" s="46" t="s">
        <v>517</v>
      </c>
      <c r="C376" s="46">
        <v>237</v>
      </c>
      <c r="D376" s="24" t="s">
        <v>664</v>
      </c>
      <c r="E376" s="24" t="s">
        <v>19</v>
      </c>
      <c r="F376" s="47">
        <v>41813</v>
      </c>
      <c r="G376" s="26">
        <f>131.29+24.78+27+247.51</f>
        <v>430.58</v>
      </c>
      <c r="H376" s="24"/>
      <c r="I376" s="139"/>
      <c r="J376" s="24"/>
      <c r="K376" s="35"/>
      <c r="L376" s="9"/>
      <c r="M376" s="9"/>
      <c r="N376" s="9"/>
      <c r="O376" s="9"/>
      <c r="P376" s="9"/>
      <c r="Q376" s="18">
        <f t="shared" si="18"/>
        <v>430.58</v>
      </c>
      <c r="R376" s="18">
        <f t="shared" si="19"/>
        <v>0</v>
      </c>
      <c r="S376" s="18">
        <f t="shared" si="20"/>
        <v>430.58</v>
      </c>
    </row>
    <row r="377" spans="1:19" x14ac:dyDescent="0.25">
      <c r="A377" s="45" t="s">
        <v>753</v>
      </c>
      <c r="B377" s="46" t="s">
        <v>517</v>
      </c>
      <c r="C377" s="46">
        <v>237</v>
      </c>
      <c r="D377" s="24" t="s">
        <v>665</v>
      </c>
      <c r="E377" s="24" t="s">
        <v>19</v>
      </c>
      <c r="F377" s="47">
        <v>41813</v>
      </c>
      <c r="G377" s="29">
        <f>30.17+47.2+47.2+24.78+117.65</f>
        <v>267</v>
      </c>
      <c r="H377" s="24"/>
      <c r="I377" s="139"/>
      <c r="J377" s="24"/>
      <c r="K377" s="35"/>
      <c r="L377" s="9"/>
      <c r="M377" s="9"/>
      <c r="N377" s="9"/>
      <c r="O377" s="9"/>
      <c r="P377" s="9"/>
      <c r="Q377" s="18">
        <f t="shared" si="18"/>
        <v>267</v>
      </c>
      <c r="R377" s="18">
        <f t="shared" si="19"/>
        <v>0</v>
      </c>
      <c r="S377" s="18">
        <f t="shared" si="20"/>
        <v>267</v>
      </c>
    </row>
    <row r="378" spans="1:19" x14ac:dyDescent="0.25">
      <c r="A378" s="45" t="s">
        <v>754</v>
      </c>
      <c r="B378" s="46" t="s">
        <v>755</v>
      </c>
      <c r="C378" s="46">
        <v>238</v>
      </c>
      <c r="D378" s="24" t="s">
        <v>3121</v>
      </c>
      <c r="E378" s="24" t="s">
        <v>19</v>
      </c>
      <c r="F378" s="47">
        <v>41815</v>
      </c>
      <c r="G378" s="26">
        <f>94.4+75.41+120+159.25+121.78+28.21+121.78+260+260+260+265.32</f>
        <v>1766.1499999999999</v>
      </c>
      <c r="H378" s="24"/>
      <c r="I378" s="139">
        <f>750+750+750</f>
        <v>2250</v>
      </c>
      <c r="J378" s="24"/>
      <c r="K378" s="35"/>
      <c r="L378" s="9"/>
      <c r="M378" s="9"/>
      <c r="N378" s="9"/>
      <c r="O378" s="9"/>
      <c r="P378" s="9"/>
      <c r="Q378" s="18">
        <f t="shared" si="18"/>
        <v>4016.1499999999996</v>
      </c>
      <c r="R378" s="18">
        <f t="shared" si="19"/>
        <v>0</v>
      </c>
      <c r="S378" s="18">
        <f t="shared" si="20"/>
        <v>4016.1499999999996</v>
      </c>
    </row>
    <row r="379" spans="1:19" x14ac:dyDescent="0.25">
      <c r="A379" s="45" t="s">
        <v>756</v>
      </c>
      <c r="B379" s="46" t="s">
        <v>757</v>
      </c>
      <c r="C379" s="46">
        <v>239</v>
      </c>
      <c r="D379" s="24" t="s">
        <v>666</v>
      </c>
      <c r="E379" s="24" t="s">
        <v>19</v>
      </c>
      <c r="F379" s="47">
        <v>41815</v>
      </c>
      <c r="G379" s="38">
        <f>4075+238+370.6</f>
        <v>4683.6000000000004</v>
      </c>
      <c r="H379" s="24"/>
      <c r="I379" s="139"/>
      <c r="J379" s="24"/>
      <c r="K379" s="35"/>
      <c r="L379" s="9"/>
      <c r="M379" s="9"/>
      <c r="N379" s="9"/>
      <c r="O379" s="9"/>
      <c r="P379" s="9"/>
      <c r="Q379" s="18">
        <f t="shared" si="18"/>
        <v>4683.6000000000004</v>
      </c>
      <c r="R379" s="18">
        <f t="shared" si="19"/>
        <v>0</v>
      </c>
      <c r="S379" s="18">
        <f t="shared" si="20"/>
        <v>4683.6000000000004</v>
      </c>
    </row>
    <row r="380" spans="1:19" x14ac:dyDescent="0.25">
      <c r="A380" s="45" t="s">
        <v>758</v>
      </c>
      <c r="B380" s="46" t="s">
        <v>759</v>
      </c>
      <c r="C380" s="46">
        <v>240</v>
      </c>
      <c r="D380" s="24" t="s">
        <v>667</v>
      </c>
      <c r="E380" s="24" t="s">
        <v>19</v>
      </c>
      <c r="F380" s="47">
        <v>41808</v>
      </c>
      <c r="G380" s="26">
        <f>718.05+47.2+47.2+143.55+59.09+240+47.2+47.2+88.42</f>
        <v>1437.9100000000003</v>
      </c>
      <c r="H380" s="24"/>
      <c r="I380" s="139">
        <f>1500</f>
        <v>1500</v>
      </c>
      <c r="J380" s="24"/>
      <c r="K380" s="35"/>
      <c r="L380" s="9"/>
      <c r="M380" s="9"/>
      <c r="N380" s="9"/>
      <c r="O380" s="9"/>
      <c r="P380" s="9"/>
      <c r="Q380" s="18">
        <f t="shared" si="18"/>
        <v>2937.9100000000003</v>
      </c>
      <c r="R380" s="18">
        <f t="shared" si="19"/>
        <v>0</v>
      </c>
      <c r="S380" s="18">
        <f t="shared" si="20"/>
        <v>2937.9100000000003</v>
      </c>
    </row>
    <row r="381" spans="1:19" x14ac:dyDescent="0.25">
      <c r="A381" s="45" t="s">
        <v>760</v>
      </c>
      <c r="B381" s="46" t="s">
        <v>313</v>
      </c>
      <c r="C381" s="46">
        <v>241</v>
      </c>
      <c r="D381" s="24" t="s">
        <v>668</v>
      </c>
      <c r="E381" s="24" t="s">
        <v>19</v>
      </c>
      <c r="F381" s="47">
        <v>41787</v>
      </c>
      <c r="G381" s="38">
        <v>160.21</v>
      </c>
      <c r="H381" s="24"/>
      <c r="I381" s="139"/>
      <c r="J381" s="24"/>
      <c r="K381" s="35"/>
      <c r="L381" s="9"/>
      <c r="M381" s="9"/>
      <c r="N381" s="9"/>
      <c r="O381" s="9"/>
      <c r="P381" s="9"/>
      <c r="Q381" s="18">
        <f t="shared" si="18"/>
        <v>160.21</v>
      </c>
      <c r="R381" s="18">
        <f t="shared" si="19"/>
        <v>0</v>
      </c>
      <c r="S381" s="18">
        <f t="shared" si="20"/>
        <v>160.21</v>
      </c>
    </row>
    <row r="382" spans="1:19" x14ac:dyDescent="0.25">
      <c r="A382" s="45" t="s">
        <v>760</v>
      </c>
      <c r="B382" s="46" t="s">
        <v>313</v>
      </c>
      <c r="C382" s="46">
        <v>241</v>
      </c>
      <c r="D382" s="24" t="s">
        <v>669</v>
      </c>
      <c r="E382" s="24" t="s">
        <v>19</v>
      </c>
      <c r="F382" s="47">
        <v>41787</v>
      </c>
      <c r="G382" s="38">
        <v>50.66</v>
      </c>
      <c r="H382" s="24"/>
      <c r="I382" s="139"/>
      <c r="J382" s="24"/>
      <c r="K382" s="35"/>
      <c r="L382" s="9"/>
      <c r="M382" s="9"/>
      <c r="N382" s="9"/>
      <c r="O382" s="9"/>
      <c r="P382" s="9"/>
      <c r="Q382" s="18">
        <f t="shared" si="18"/>
        <v>50.66</v>
      </c>
      <c r="R382" s="18">
        <f t="shared" si="19"/>
        <v>0</v>
      </c>
      <c r="S382" s="18">
        <f t="shared" si="20"/>
        <v>50.66</v>
      </c>
    </row>
    <row r="383" spans="1:19" x14ac:dyDescent="0.25">
      <c r="A383" s="45" t="s">
        <v>760</v>
      </c>
      <c r="B383" s="46" t="s">
        <v>313</v>
      </c>
      <c r="C383" s="46">
        <v>241</v>
      </c>
      <c r="D383" s="24" t="s">
        <v>670</v>
      </c>
      <c r="E383" s="24" t="s">
        <v>19</v>
      </c>
      <c r="F383" s="47">
        <v>41787</v>
      </c>
      <c r="G383" s="38">
        <v>123.79</v>
      </c>
      <c r="H383" s="24"/>
      <c r="I383" s="139"/>
      <c r="J383" s="24"/>
      <c r="K383" s="35"/>
      <c r="L383" s="9"/>
      <c r="M383" s="9"/>
      <c r="N383" s="9"/>
      <c r="O383" s="9"/>
      <c r="P383" s="9"/>
      <c r="Q383" s="18">
        <f t="shared" si="18"/>
        <v>123.79</v>
      </c>
      <c r="R383" s="18">
        <f t="shared" si="19"/>
        <v>0</v>
      </c>
      <c r="S383" s="18">
        <f t="shared" si="20"/>
        <v>123.79</v>
      </c>
    </row>
    <row r="384" spans="1:19" x14ac:dyDescent="0.25">
      <c r="A384" s="45" t="s">
        <v>760</v>
      </c>
      <c r="B384" s="46" t="s">
        <v>313</v>
      </c>
      <c r="C384" s="46">
        <v>241</v>
      </c>
      <c r="D384" s="24" t="s">
        <v>671</v>
      </c>
      <c r="E384" s="24" t="s">
        <v>19</v>
      </c>
      <c r="F384" s="47">
        <v>41787</v>
      </c>
      <c r="G384" s="38">
        <v>113.96</v>
      </c>
      <c r="H384" s="24"/>
      <c r="I384" s="139"/>
      <c r="J384" s="24"/>
      <c r="K384" s="35"/>
      <c r="L384" s="9"/>
      <c r="M384" s="9"/>
      <c r="N384" s="9"/>
      <c r="O384" s="9"/>
      <c r="P384" s="9"/>
      <c r="Q384" s="18">
        <f t="shared" si="18"/>
        <v>113.96</v>
      </c>
      <c r="R384" s="18">
        <f t="shared" si="19"/>
        <v>0</v>
      </c>
      <c r="S384" s="18">
        <f t="shared" si="20"/>
        <v>113.96</v>
      </c>
    </row>
    <row r="385" spans="1:19" x14ac:dyDescent="0.25">
      <c r="A385" s="45" t="s">
        <v>760</v>
      </c>
      <c r="B385" s="46" t="s">
        <v>313</v>
      </c>
      <c r="C385" s="46">
        <v>241</v>
      </c>
      <c r="D385" s="24" t="s">
        <v>672</v>
      </c>
      <c r="E385" s="24" t="s">
        <v>19</v>
      </c>
      <c r="F385" s="47">
        <v>41787</v>
      </c>
      <c r="G385" s="38">
        <v>131.52000000000001</v>
      </c>
      <c r="H385" s="24"/>
      <c r="I385" s="139"/>
      <c r="J385" s="24"/>
      <c r="K385" s="35"/>
      <c r="L385" s="9"/>
      <c r="M385" s="9"/>
      <c r="N385" s="9"/>
      <c r="O385" s="9"/>
      <c r="P385" s="9"/>
      <c r="Q385" s="18">
        <f t="shared" si="18"/>
        <v>131.52000000000001</v>
      </c>
      <c r="R385" s="18">
        <f t="shared" si="19"/>
        <v>0</v>
      </c>
      <c r="S385" s="18">
        <f t="shared" si="20"/>
        <v>131.52000000000001</v>
      </c>
    </row>
    <row r="386" spans="1:19" x14ac:dyDescent="0.25">
      <c r="A386" s="45" t="s">
        <v>760</v>
      </c>
      <c r="B386" s="46" t="s">
        <v>313</v>
      </c>
      <c r="C386" s="46">
        <v>241</v>
      </c>
      <c r="D386" s="24" t="s">
        <v>673</v>
      </c>
      <c r="E386" s="24" t="s">
        <v>19</v>
      </c>
      <c r="F386" s="47">
        <v>41787</v>
      </c>
      <c r="G386" s="38">
        <v>88.57</v>
      </c>
      <c r="H386" s="24"/>
      <c r="I386" s="139"/>
      <c r="J386" s="24"/>
      <c r="K386" s="35"/>
      <c r="L386" s="9"/>
      <c r="M386" s="9"/>
      <c r="N386" s="9"/>
      <c r="O386" s="9"/>
      <c r="P386" s="9"/>
      <c r="Q386" s="18">
        <f t="shared" si="18"/>
        <v>88.57</v>
      </c>
      <c r="R386" s="18">
        <f t="shared" si="19"/>
        <v>0</v>
      </c>
      <c r="S386" s="18">
        <f t="shared" si="20"/>
        <v>88.57</v>
      </c>
    </row>
    <row r="387" spans="1:19" x14ac:dyDescent="0.25">
      <c r="A387" s="45" t="s">
        <v>760</v>
      </c>
      <c r="B387" s="46" t="s">
        <v>313</v>
      </c>
      <c r="C387" s="46">
        <v>241</v>
      </c>
      <c r="D387" s="24" t="s">
        <v>674</v>
      </c>
      <c r="E387" s="24" t="s">
        <v>19</v>
      </c>
      <c r="F387" s="47">
        <v>41787</v>
      </c>
      <c r="G387" s="38">
        <v>88.57</v>
      </c>
      <c r="H387" s="24"/>
      <c r="I387" s="139"/>
      <c r="J387" s="24"/>
      <c r="K387" s="35"/>
      <c r="L387" s="9"/>
      <c r="M387" s="9"/>
      <c r="N387" s="9"/>
      <c r="O387" s="9"/>
      <c r="P387" s="9"/>
      <c r="Q387" s="18">
        <f t="shared" si="18"/>
        <v>88.57</v>
      </c>
      <c r="R387" s="18">
        <f t="shared" si="19"/>
        <v>0</v>
      </c>
      <c r="S387" s="18">
        <f t="shared" si="20"/>
        <v>88.57</v>
      </c>
    </row>
    <row r="388" spans="1:19" x14ac:dyDescent="0.25">
      <c r="A388" s="45" t="s">
        <v>760</v>
      </c>
      <c r="B388" s="46" t="s">
        <v>313</v>
      </c>
      <c r="C388" s="46">
        <v>241</v>
      </c>
      <c r="D388" s="24" t="s">
        <v>675</v>
      </c>
      <c r="E388" s="24" t="s">
        <v>19</v>
      </c>
      <c r="F388" s="47">
        <v>41787</v>
      </c>
      <c r="G388" s="38">
        <v>94.53</v>
      </c>
      <c r="H388" s="24"/>
      <c r="I388" s="139"/>
      <c r="J388" s="24"/>
      <c r="K388" s="35"/>
      <c r="L388" s="9"/>
      <c r="M388" s="9"/>
      <c r="N388" s="9"/>
      <c r="O388" s="9"/>
      <c r="P388" s="9"/>
      <c r="Q388" s="18">
        <f t="shared" si="18"/>
        <v>94.53</v>
      </c>
      <c r="R388" s="18">
        <f t="shared" si="19"/>
        <v>0</v>
      </c>
      <c r="S388" s="18">
        <f t="shared" si="20"/>
        <v>94.53</v>
      </c>
    </row>
    <row r="389" spans="1:19" x14ac:dyDescent="0.25">
      <c r="A389" s="45" t="s">
        <v>760</v>
      </c>
      <c r="B389" s="46" t="s">
        <v>313</v>
      </c>
      <c r="C389" s="46">
        <v>241</v>
      </c>
      <c r="D389" s="24" t="s">
        <v>676</v>
      </c>
      <c r="E389" s="24" t="s">
        <v>19</v>
      </c>
      <c r="F389" s="47">
        <v>41787</v>
      </c>
      <c r="G389" s="38">
        <v>129.79</v>
      </c>
      <c r="H389" s="24"/>
      <c r="I389" s="139"/>
      <c r="J389" s="24"/>
      <c r="K389" s="35"/>
      <c r="L389" s="9"/>
      <c r="M389" s="9"/>
      <c r="N389" s="9"/>
      <c r="O389" s="9"/>
      <c r="P389" s="9"/>
      <c r="Q389" s="18">
        <f t="shared" si="18"/>
        <v>129.79</v>
      </c>
      <c r="R389" s="18">
        <f t="shared" si="19"/>
        <v>0</v>
      </c>
      <c r="S389" s="18">
        <f t="shared" si="20"/>
        <v>129.79</v>
      </c>
    </row>
    <row r="390" spans="1:19" x14ac:dyDescent="0.25">
      <c r="A390" s="45" t="s">
        <v>760</v>
      </c>
      <c r="B390" s="46" t="s">
        <v>313</v>
      </c>
      <c r="C390" s="46">
        <v>241</v>
      </c>
      <c r="D390" s="24" t="s">
        <v>677</v>
      </c>
      <c r="E390" s="24" t="s">
        <v>19</v>
      </c>
      <c r="F390" s="47">
        <v>41787</v>
      </c>
      <c r="G390" s="38">
        <v>142.21</v>
      </c>
      <c r="H390" s="24"/>
      <c r="I390" s="139"/>
      <c r="J390" s="24"/>
      <c r="K390" s="35"/>
      <c r="L390" s="9"/>
      <c r="M390" s="9"/>
      <c r="N390" s="9"/>
      <c r="O390" s="9"/>
      <c r="P390" s="9"/>
      <c r="Q390" s="18">
        <f t="shared" si="18"/>
        <v>142.21</v>
      </c>
      <c r="R390" s="18">
        <f t="shared" si="19"/>
        <v>0</v>
      </c>
      <c r="S390" s="18">
        <f t="shared" si="20"/>
        <v>142.21</v>
      </c>
    </row>
    <row r="391" spans="1:19" x14ac:dyDescent="0.25">
      <c r="A391" s="45" t="s">
        <v>760</v>
      </c>
      <c r="B391" s="46" t="s">
        <v>313</v>
      </c>
      <c r="C391" s="46">
        <v>241</v>
      </c>
      <c r="D391" s="24" t="s">
        <v>678</v>
      </c>
      <c r="E391" s="24" t="s">
        <v>19</v>
      </c>
      <c r="F391" s="47">
        <v>41787</v>
      </c>
      <c r="G391" s="38">
        <v>124.76</v>
      </c>
      <c r="H391" s="24"/>
      <c r="I391" s="139"/>
      <c r="J391" s="24"/>
      <c r="K391" s="35"/>
      <c r="L391" s="9"/>
      <c r="M391" s="9"/>
      <c r="N391" s="9"/>
      <c r="O391" s="9"/>
      <c r="P391" s="9"/>
      <c r="Q391" s="18">
        <f t="shared" si="18"/>
        <v>124.76</v>
      </c>
      <c r="R391" s="18">
        <f t="shared" si="19"/>
        <v>0</v>
      </c>
      <c r="S391" s="18">
        <f t="shared" si="20"/>
        <v>124.76</v>
      </c>
    </row>
    <row r="392" spans="1:19" x14ac:dyDescent="0.25">
      <c r="A392" s="45" t="s">
        <v>760</v>
      </c>
      <c r="B392" s="46" t="s">
        <v>313</v>
      </c>
      <c r="C392" s="46">
        <v>241</v>
      </c>
      <c r="D392" s="24" t="s">
        <v>679</v>
      </c>
      <c r="E392" s="24" t="s">
        <v>19</v>
      </c>
      <c r="F392" s="47">
        <v>41787</v>
      </c>
      <c r="G392" s="38">
        <v>118.93</v>
      </c>
      <c r="H392" s="24"/>
      <c r="I392" s="139"/>
      <c r="J392" s="24"/>
      <c r="K392" s="35"/>
      <c r="L392" s="9"/>
      <c r="M392" s="9"/>
      <c r="N392" s="9"/>
      <c r="O392" s="9"/>
      <c r="P392" s="9"/>
      <c r="Q392" s="18">
        <f t="shared" si="18"/>
        <v>118.93</v>
      </c>
      <c r="R392" s="18">
        <f t="shared" si="19"/>
        <v>0</v>
      </c>
      <c r="S392" s="18">
        <f t="shared" si="20"/>
        <v>118.93</v>
      </c>
    </row>
    <row r="393" spans="1:19" x14ac:dyDescent="0.25">
      <c r="A393" s="45" t="s">
        <v>760</v>
      </c>
      <c r="B393" s="46" t="s">
        <v>313</v>
      </c>
      <c r="C393" s="46">
        <v>241</v>
      </c>
      <c r="D393" s="24" t="s">
        <v>680</v>
      </c>
      <c r="E393" s="24" t="s">
        <v>19</v>
      </c>
      <c r="F393" s="47">
        <v>41787</v>
      </c>
      <c r="G393" s="38">
        <v>113.96</v>
      </c>
      <c r="H393" s="24"/>
      <c r="I393" s="139"/>
      <c r="J393" s="24"/>
      <c r="K393" s="35"/>
      <c r="L393" s="9"/>
      <c r="M393" s="9"/>
      <c r="N393" s="9"/>
      <c r="O393" s="9"/>
      <c r="P393" s="9"/>
      <c r="Q393" s="18">
        <f t="shared" si="18"/>
        <v>113.96</v>
      </c>
      <c r="R393" s="18">
        <f t="shared" si="19"/>
        <v>0</v>
      </c>
      <c r="S393" s="18">
        <f t="shared" si="20"/>
        <v>113.96</v>
      </c>
    </row>
    <row r="394" spans="1:19" x14ac:dyDescent="0.25">
      <c r="A394" s="45" t="s">
        <v>760</v>
      </c>
      <c r="B394" s="46" t="s">
        <v>313</v>
      </c>
      <c r="C394" s="46">
        <v>241</v>
      </c>
      <c r="D394" s="24" t="s">
        <v>681</v>
      </c>
      <c r="E394" s="24" t="s">
        <v>19</v>
      </c>
      <c r="F394" s="47">
        <v>41787</v>
      </c>
      <c r="G394" s="38">
        <v>155.18</v>
      </c>
      <c r="H394" s="24"/>
      <c r="I394" s="139"/>
      <c r="J394" s="24"/>
      <c r="K394" s="35"/>
      <c r="L394" s="9"/>
      <c r="M394" s="9"/>
      <c r="N394" s="9"/>
      <c r="O394" s="9"/>
      <c r="P394" s="9"/>
      <c r="Q394" s="18">
        <f t="shared" si="18"/>
        <v>155.18</v>
      </c>
      <c r="R394" s="18">
        <f t="shared" si="19"/>
        <v>0</v>
      </c>
      <c r="S394" s="18">
        <f t="shared" si="20"/>
        <v>155.18</v>
      </c>
    </row>
    <row r="395" spans="1:19" x14ac:dyDescent="0.25">
      <c r="A395" s="45" t="s">
        <v>760</v>
      </c>
      <c r="B395" s="46" t="s">
        <v>313</v>
      </c>
      <c r="C395" s="46">
        <v>241</v>
      </c>
      <c r="D395" s="24" t="s">
        <v>682</v>
      </c>
      <c r="E395" s="24" t="s">
        <v>19</v>
      </c>
      <c r="F395" s="47">
        <v>41787</v>
      </c>
      <c r="G395" s="38">
        <v>118.93</v>
      </c>
      <c r="H395" s="24"/>
      <c r="I395" s="139"/>
      <c r="J395" s="24"/>
      <c r="K395" s="35"/>
      <c r="L395" s="9"/>
      <c r="M395" s="9"/>
      <c r="N395" s="9"/>
      <c r="O395" s="9"/>
      <c r="P395" s="9"/>
      <c r="Q395" s="18">
        <f t="shared" si="18"/>
        <v>118.93</v>
      </c>
      <c r="R395" s="18">
        <f t="shared" si="19"/>
        <v>0</v>
      </c>
      <c r="S395" s="18">
        <f t="shared" si="20"/>
        <v>118.93</v>
      </c>
    </row>
    <row r="396" spans="1:19" x14ac:dyDescent="0.25">
      <c r="A396" s="45" t="s">
        <v>761</v>
      </c>
      <c r="B396" s="46" t="s">
        <v>762</v>
      </c>
      <c r="C396" s="46">
        <v>242</v>
      </c>
      <c r="D396" s="24" t="s">
        <v>763</v>
      </c>
      <c r="E396" s="24" t="s">
        <v>19</v>
      </c>
      <c r="F396" s="47">
        <v>41800</v>
      </c>
      <c r="G396" s="26">
        <f>89.87+147.89+143.96+80</f>
        <v>461.72</v>
      </c>
      <c r="H396" s="24"/>
      <c r="I396" s="139"/>
      <c r="J396" s="24"/>
      <c r="K396" s="35"/>
      <c r="L396" s="9"/>
      <c r="M396" s="9"/>
      <c r="N396" s="9"/>
      <c r="O396" s="9"/>
      <c r="P396" s="9"/>
      <c r="Q396" s="18">
        <f t="shared" si="18"/>
        <v>461.72</v>
      </c>
      <c r="R396" s="18">
        <f t="shared" si="19"/>
        <v>0</v>
      </c>
      <c r="S396" s="18">
        <f t="shared" si="20"/>
        <v>461.72</v>
      </c>
    </row>
    <row r="397" spans="1:19" x14ac:dyDescent="0.25">
      <c r="A397" s="45" t="s">
        <v>764</v>
      </c>
      <c r="B397" s="46" t="s">
        <v>765</v>
      </c>
      <c r="C397" s="46">
        <v>243</v>
      </c>
      <c r="D397" s="24" t="s">
        <v>766</v>
      </c>
      <c r="E397" s="24" t="s">
        <v>19</v>
      </c>
      <c r="F397" s="47">
        <v>41820</v>
      </c>
      <c r="G397" s="26">
        <f>279.04+320+376.4</f>
        <v>975.43999999999994</v>
      </c>
      <c r="H397" s="24"/>
      <c r="I397" s="139"/>
      <c r="J397" s="24"/>
      <c r="K397" s="35"/>
      <c r="L397" s="9"/>
      <c r="M397" s="9"/>
      <c r="N397" s="9"/>
      <c r="O397" s="9"/>
      <c r="P397" s="9"/>
      <c r="Q397" s="18">
        <f t="shared" si="18"/>
        <v>975.43999999999994</v>
      </c>
      <c r="R397" s="18">
        <f t="shared" si="19"/>
        <v>0</v>
      </c>
      <c r="S397" s="18">
        <f t="shared" si="20"/>
        <v>975.43999999999994</v>
      </c>
    </row>
    <row r="398" spans="1:19" x14ac:dyDescent="0.25">
      <c r="A398" s="45" t="s">
        <v>767</v>
      </c>
      <c r="B398" s="46" t="s">
        <v>768</v>
      </c>
      <c r="C398" s="46">
        <v>244</v>
      </c>
      <c r="D398" s="24" t="s">
        <v>683</v>
      </c>
      <c r="E398" s="24" t="s">
        <v>19</v>
      </c>
      <c r="F398" s="47">
        <v>41826</v>
      </c>
      <c r="G398" s="26">
        <f>174.33+108.78+215.14</f>
        <v>498.25</v>
      </c>
      <c r="H398" s="24"/>
      <c r="I398" s="139">
        <v>1500</v>
      </c>
      <c r="J398" s="24"/>
      <c r="K398" s="35"/>
      <c r="L398" s="9"/>
      <c r="M398" s="9"/>
      <c r="N398" s="9"/>
      <c r="O398" s="9"/>
      <c r="P398" s="9"/>
      <c r="Q398" s="18">
        <f t="shared" si="18"/>
        <v>1998.25</v>
      </c>
      <c r="R398" s="18">
        <f t="shared" si="19"/>
        <v>0</v>
      </c>
      <c r="S398" s="18">
        <f t="shared" si="20"/>
        <v>1998.25</v>
      </c>
    </row>
    <row r="399" spans="1:19" x14ac:dyDescent="0.25">
      <c r="A399" s="45" t="s">
        <v>767</v>
      </c>
      <c r="B399" s="46" t="s">
        <v>768</v>
      </c>
      <c r="C399" s="46">
        <v>244</v>
      </c>
      <c r="D399" s="24" t="s">
        <v>3196</v>
      </c>
      <c r="E399" s="24" t="s">
        <v>19</v>
      </c>
      <c r="F399" s="47">
        <v>41826</v>
      </c>
      <c r="G399" s="26">
        <f>310.56</f>
        <v>310.56</v>
      </c>
      <c r="H399" s="24"/>
      <c r="I399" s="139"/>
      <c r="J399" s="24"/>
      <c r="K399" s="35"/>
      <c r="L399" s="9"/>
      <c r="M399" s="9"/>
      <c r="N399" s="9"/>
      <c r="O399" s="9"/>
      <c r="P399" s="9"/>
      <c r="Q399" s="18">
        <f t="shared" si="18"/>
        <v>310.56</v>
      </c>
      <c r="R399" s="18">
        <f t="shared" si="19"/>
        <v>0</v>
      </c>
      <c r="S399" s="18">
        <f t="shared" si="20"/>
        <v>310.56</v>
      </c>
    </row>
    <row r="400" spans="1:19" x14ac:dyDescent="0.25">
      <c r="A400" s="45" t="s">
        <v>767</v>
      </c>
      <c r="B400" s="46" t="s">
        <v>768</v>
      </c>
      <c r="C400" s="46">
        <v>244</v>
      </c>
      <c r="D400" s="24" t="s">
        <v>3197</v>
      </c>
      <c r="E400" s="24" t="s">
        <v>19</v>
      </c>
      <c r="F400" s="47">
        <v>41826</v>
      </c>
      <c r="G400" s="26">
        <v>282.99</v>
      </c>
      <c r="H400" s="24"/>
      <c r="I400" s="139"/>
      <c r="J400" s="24"/>
      <c r="K400" s="35"/>
      <c r="L400" s="9"/>
      <c r="M400" s="9"/>
      <c r="N400" s="9"/>
      <c r="O400" s="9"/>
      <c r="P400" s="9"/>
      <c r="Q400" s="18">
        <f t="shared" si="18"/>
        <v>282.99</v>
      </c>
      <c r="R400" s="18">
        <f t="shared" si="19"/>
        <v>0</v>
      </c>
      <c r="S400" s="18">
        <f t="shared" si="20"/>
        <v>282.99</v>
      </c>
    </row>
    <row r="401" spans="1:19" x14ac:dyDescent="0.25">
      <c r="A401" s="45" t="s">
        <v>769</v>
      </c>
      <c r="B401" s="46" t="s">
        <v>770</v>
      </c>
      <c r="C401" s="46">
        <v>245</v>
      </c>
      <c r="D401" s="24" t="s">
        <v>771</v>
      </c>
      <c r="E401" s="24" t="s">
        <v>19</v>
      </c>
      <c r="F401" s="49">
        <v>41825</v>
      </c>
      <c r="G401" s="26">
        <f>341.96</f>
        <v>341.96</v>
      </c>
      <c r="H401" s="24"/>
      <c r="I401" s="139"/>
      <c r="J401" s="24"/>
      <c r="K401" s="35"/>
      <c r="L401" s="9"/>
      <c r="M401" s="9"/>
      <c r="N401" s="9"/>
      <c r="O401" s="9"/>
      <c r="P401" s="9"/>
      <c r="Q401" s="18">
        <f t="shared" ref="Q401:Q464" si="21">+G401+I401+K401+M401+O401</f>
        <v>341.96</v>
      </c>
      <c r="R401" s="18">
        <f t="shared" ref="R401:R464" si="22">+H401+J401+L401+N401+P401</f>
        <v>0</v>
      </c>
      <c r="S401" s="18">
        <f t="shared" ref="S401:S464" si="23">+Q401+R401</f>
        <v>341.96</v>
      </c>
    </row>
    <row r="402" spans="1:19" x14ac:dyDescent="0.25">
      <c r="A402" s="45" t="s">
        <v>772</v>
      </c>
      <c r="B402" s="46" t="s">
        <v>773</v>
      </c>
      <c r="C402" s="46">
        <v>246</v>
      </c>
      <c r="D402" s="24" t="s">
        <v>774</v>
      </c>
      <c r="E402" s="24" t="s">
        <v>19</v>
      </c>
      <c r="F402" s="49">
        <v>41826</v>
      </c>
      <c r="G402" s="26">
        <f>275.35+194.88</f>
        <v>470.23</v>
      </c>
      <c r="H402" s="24"/>
      <c r="I402" s="139"/>
      <c r="J402" s="24"/>
      <c r="K402" s="35"/>
      <c r="L402" s="9"/>
      <c r="M402" s="9"/>
      <c r="N402" s="9"/>
      <c r="O402" s="9"/>
      <c r="P402" s="9"/>
      <c r="Q402" s="18">
        <f t="shared" si="21"/>
        <v>470.23</v>
      </c>
      <c r="R402" s="18">
        <f t="shared" si="22"/>
        <v>0</v>
      </c>
      <c r="S402" s="18">
        <f t="shared" si="23"/>
        <v>470.23</v>
      </c>
    </row>
    <row r="403" spans="1:19" x14ac:dyDescent="0.25">
      <c r="A403" s="45" t="s">
        <v>775</v>
      </c>
      <c r="B403" s="46" t="s">
        <v>776</v>
      </c>
      <c r="C403" s="46">
        <v>247</v>
      </c>
      <c r="D403" s="24" t="s">
        <v>777</v>
      </c>
      <c r="E403" s="24" t="s">
        <v>19</v>
      </c>
      <c r="F403" s="49">
        <v>41797</v>
      </c>
      <c r="G403" s="29">
        <f>238+332.6</f>
        <v>570.6</v>
      </c>
      <c r="H403" s="24"/>
      <c r="I403" s="139"/>
      <c r="J403" s="24"/>
      <c r="K403" s="35"/>
      <c r="L403" s="9"/>
      <c r="M403" s="9"/>
      <c r="N403" s="9"/>
      <c r="O403" s="9"/>
      <c r="P403" s="9"/>
      <c r="Q403" s="18">
        <f t="shared" si="21"/>
        <v>570.6</v>
      </c>
      <c r="R403" s="18">
        <f t="shared" si="22"/>
        <v>0</v>
      </c>
      <c r="S403" s="18">
        <f t="shared" si="23"/>
        <v>570.6</v>
      </c>
    </row>
    <row r="404" spans="1:19" x14ac:dyDescent="0.25">
      <c r="A404" s="45" t="s">
        <v>778</v>
      </c>
      <c r="B404" s="46" t="s">
        <v>779</v>
      </c>
      <c r="C404" s="46">
        <v>248</v>
      </c>
      <c r="D404" s="24" t="s">
        <v>780</v>
      </c>
      <c r="E404" s="24" t="s">
        <v>19</v>
      </c>
      <c r="F404" s="49">
        <v>41821</v>
      </c>
      <c r="G404" s="29">
        <f>113</f>
        <v>113</v>
      </c>
      <c r="H404" s="24"/>
      <c r="I404" s="139"/>
      <c r="J404" s="24"/>
      <c r="K404" s="35"/>
      <c r="L404" s="9"/>
      <c r="M404" s="9"/>
      <c r="N404" s="9"/>
      <c r="O404" s="9"/>
      <c r="P404" s="9"/>
      <c r="Q404" s="18">
        <f t="shared" si="21"/>
        <v>113</v>
      </c>
      <c r="R404" s="18">
        <f t="shared" si="22"/>
        <v>0</v>
      </c>
      <c r="S404" s="18">
        <f t="shared" si="23"/>
        <v>113</v>
      </c>
    </row>
    <row r="405" spans="1:19" x14ac:dyDescent="0.25">
      <c r="A405" s="45" t="s">
        <v>778</v>
      </c>
      <c r="B405" s="46" t="s">
        <v>779</v>
      </c>
      <c r="C405" s="46">
        <v>248</v>
      </c>
      <c r="D405" s="24" t="s">
        <v>781</v>
      </c>
      <c r="E405" s="24" t="s">
        <v>19</v>
      </c>
      <c r="F405" s="49">
        <v>41821</v>
      </c>
      <c r="G405" s="29">
        <f>235+238</f>
        <v>473</v>
      </c>
      <c r="H405" s="24"/>
      <c r="I405" s="139"/>
      <c r="J405" s="24"/>
      <c r="K405" s="35"/>
      <c r="L405" s="9"/>
      <c r="M405" s="9"/>
      <c r="N405" s="9"/>
      <c r="O405" s="9"/>
      <c r="P405" s="9"/>
      <c r="Q405" s="18">
        <f t="shared" si="21"/>
        <v>473</v>
      </c>
      <c r="R405" s="18">
        <f t="shared" si="22"/>
        <v>0</v>
      </c>
      <c r="S405" s="18">
        <f t="shared" si="23"/>
        <v>473</v>
      </c>
    </row>
    <row r="406" spans="1:19" x14ac:dyDescent="0.25">
      <c r="A406" s="45" t="s">
        <v>778</v>
      </c>
      <c r="B406" s="46" t="s">
        <v>779</v>
      </c>
      <c r="C406" s="46">
        <v>248</v>
      </c>
      <c r="D406" s="24" t="s">
        <v>782</v>
      </c>
      <c r="E406" s="24" t="s">
        <v>19</v>
      </c>
      <c r="F406" s="49">
        <v>41821</v>
      </c>
      <c r="G406" s="26">
        <f>2445.61+240+473.4+83.6+117.72+47.2+47.2+260+47.2+260+260+170</f>
        <v>4451.9299999999994</v>
      </c>
      <c r="H406" s="24"/>
      <c r="I406" s="139">
        <f>1500</f>
        <v>1500</v>
      </c>
      <c r="J406" s="24"/>
      <c r="K406" s="35"/>
      <c r="L406" s="9"/>
      <c r="M406" s="9"/>
      <c r="N406" s="9"/>
      <c r="O406" s="9"/>
      <c r="P406" s="9"/>
      <c r="Q406" s="18">
        <f t="shared" si="21"/>
        <v>5951.9299999999994</v>
      </c>
      <c r="R406" s="18">
        <f t="shared" si="22"/>
        <v>0</v>
      </c>
      <c r="S406" s="18">
        <f t="shared" si="23"/>
        <v>5951.9299999999994</v>
      </c>
    </row>
    <row r="407" spans="1:19" x14ac:dyDescent="0.25">
      <c r="A407" s="45" t="s">
        <v>783</v>
      </c>
      <c r="B407" s="46" t="s">
        <v>784</v>
      </c>
      <c r="C407" s="46">
        <v>249</v>
      </c>
      <c r="D407" s="24" t="s">
        <v>684</v>
      </c>
      <c r="E407" s="24" t="s">
        <v>19</v>
      </c>
      <c r="F407" s="47">
        <v>41733</v>
      </c>
      <c r="G407" s="38">
        <v>521.76</v>
      </c>
      <c r="H407" s="24"/>
      <c r="I407" s="139"/>
      <c r="J407" s="24"/>
      <c r="K407" s="35"/>
      <c r="L407" s="9"/>
      <c r="M407" s="9"/>
      <c r="N407" s="9"/>
      <c r="O407" s="9"/>
      <c r="P407" s="9"/>
      <c r="Q407" s="18">
        <f t="shared" si="21"/>
        <v>521.76</v>
      </c>
      <c r="R407" s="18">
        <f t="shared" si="22"/>
        <v>0</v>
      </c>
      <c r="S407" s="18">
        <f t="shared" si="23"/>
        <v>521.76</v>
      </c>
    </row>
    <row r="408" spans="1:19" x14ac:dyDescent="0.25">
      <c r="A408" s="45" t="s">
        <v>785</v>
      </c>
      <c r="B408" s="46" t="s">
        <v>786</v>
      </c>
      <c r="C408" s="46">
        <v>250</v>
      </c>
      <c r="D408" s="24" t="s">
        <v>685</v>
      </c>
      <c r="E408" s="24" t="s">
        <v>19</v>
      </c>
      <c r="F408" s="47">
        <v>41767</v>
      </c>
      <c r="G408" s="38">
        <v>232.98</v>
      </c>
      <c r="H408" s="24"/>
      <c r="I408" s="139"/>
      <c r="J408" s="24"/>
      <c r="K408" s="35"/>
      <c r="L408" s="9"/>
      <c r="M408" s="9"/>
      <c r="N408" s="9"/>
      <c r="O408" s="9"/>
      <c r="P408" s="9"/>
      <c r="Q408" s="18">
        <f t="shared" si="21"/>
        <v>232.98</v>
      </c>
      <c r="R408" s="18">
        <f t="shared" si="22"/>
        <v>0</v>
      </c>
      <c r="S408" s="18">
        <f t="shared" si="23"/>
        <v>232.98</v>
      </c>
    </row>
    <row r="409" spans="1:19" x14ac:dyDescent="0.25">
      <c r="A409" s="45" t="s">
        <v>787</v>
      </c>
      <c r="B409" s="46" t="s">
        <v>788</v>
      </c>
      <c r="C409" s="46">
        <v>251</v>
      </c>
      <c r="D409" s="24" t="s">
        <v>789</v>
      </c>
      <c r="E409" s="24" t="s">
        <v>19</v>
      </c>
      <c r="F409" s="47">
        <v>41823</v>
      </c>
      <c r="G409" s="38">
        <f>49.56</f>
        <v>49.56</v>
      </c>
      <c r="H409" s="24"/>
      <c r="I409" s="139"/>
      <c r="J409" s="24"/>
      <c r="K409" s="35"/>
      <c r="L409" s="9"/>
      <c r="M409" s="9"/>
      <c r="N409" s="9"/>
      <c r="O409" s="9"/>
      <c r="P409" s="9"/>
      <c r="Q409" s="18">
        <f t="shared" si="21"/>
        <v>49.56</v>
      </c>
      <c r="R409" s="18">
        <f t="shared" si="22"/>
        <v>0</v>
      </c>
      <c r="S409" s="18">
        <f t="shared" si="23"/>
        <v>49.56</v>
      </c>
    </row>
    <row r="410" spans="1:19" x14ac:dyDescent="0.25">
      <c r="A410" s="45" t="s">
        <v>787</v>
      </c>
      <c r="B410" s="46" t="s">
        <v>788</v>
      </c>
      <c r="C410" s="46">
        <v>251</v>
      </c>
      <c r="D410" s="24" t="s">
        <v>790</v>
      </c>
      <c r="E410" s="24" t="s">
        <v>19</v>
      </c>
      <c r="F410" s="47">
        <v>41823</v>
      </c>
      <c r="G410" s="38">
        <f>53.1</f>
        <v>53.1</v>
      </c>
      <c r="H410" s="24"/>
      <c r="I410" s="139"/>
      <c r="J410" s="24"/>
      <c r="K410" s="35"/>
      <c r="L410" s="9"/>
      <c r="M410" s="9"/>
      <c r="N410" s="9"/>
      <c r="O410" s="9"/>
      <c r="P410" s="9"/>
      <c r="Q410" s="18">
        <f t="shared" si="21"/>
        <v>53.1</v>
      </c>
      <c r="R410" s="18">
        <f t="shared" si="22"/>
        <v>0</v>
      </c>
      <c r="S410" s="18">
        <f t="shared" si="23"/>
        <v>53.1</v>
      </c>
    </row>
    <row r="411" spans="1:19" x14ac:dyDescent="0.25">
      <c r="A411" s="45" t="s">
        <v>791</v>
      </c>
      <c r="B411" s="46" t="s">
        <v>792</v>
      </c>
      <c r="C411" s="46">
        <v>252</v>
      </c>
      <c r="D411" s="24" t="s">
        <v>793</v>
      </c>
      <c r="E411" s="24" t="s">
        <v>19</v>
      </c>
      <c r="F411" s="47">
        <v>41828</v>
      </c>
      <c r="G411" s="38">
        <f>227.27</f>
        <v>227.27</v>
      </c>
      <c r="H411" s="24"/>
      <c r="I411" s="139"/>
      <c r="J411" s="24"/>
      <c r="K411" s="35"/>
      <c r="L411" s="9"/>
      <c r="M411" s="9"/>
      <c r="N411" s="9"/>
      <c r="O411" s="9"/>
      <c r="P411" s="9"/>
      <c r="Q411" s="18">
        <f t="shared" si="21"/>
        <v>227.27</v>
      </c>
      <c r="R411" s="18">
        <f t="shared" si="22"/>
        <v>0</v>
      </c>
      <c r="S411" s="18">
        <f t="shared" si="23"/>
        <v>227.27</v>
      </c>
    </row>
    <row r="412" spans="1:19" x14ac:dyDescent="0.25">
      <c r="A412" s="45" t="s">
        <v>791</v>
      </c>
      <c r="B412" s="46" t="s">
        <v>792</v>
      </c>
      <c r="C412" s="46">
        <v>252</v>
      </c>
      <c r="D412" s="24" t="s">
        <v>794</v>
      </c>
      <c r="E412" s="24" t="s">
        <v>19</v>
      </c>
      <c r="F412" s="47">
        <v>41828</v>
      </c>
      <c r="G412" s="38">
        <f>249.45</f>
        <v>249.45</v>
      </c>
      <c r="H412" s="24"/>
      <c r="I412" s="139"/>
      <c r="J412" s="24"/>
      <c r="K412" s="35"/>
      <c r="L412" s="9"/>
      <c r="M412" s="9"/>
      <c r="N412" s="9"/>
      <c r="O412" s="9"/>
      <c r="P412" s="9"/>
      <c r="Q412" s="18">
        <f t="shared" si="21"/>
        <v>249.45</v>
      </c>
      <c r="R412" s="18">
        <f t="shared" si="22"/>
        <v>0</v>
      </c>
      <c r="S412" s="18">
        <f t="shared" si="23"/>
        <v>249.45</v>
      </c>
    </row>
    <row r="413" spans="1:19" x14ac:dyDescent="0.25">
      <c r="A413" s="45" t="s">
        <v>791</v>
      </c>
      <c r="B413" s="46" t="s">
        <v>792</v>
      </c>
      <c r="C413" s="46">
        <v>252</v>
      </c>
      <c r="D413" s="24" t="s">
        <v>795</v>
      </c>
      <c r="E413" s="24" t="s">
        <v>19</v>
      </c>
      <c r="F413" s="47">
        <v>41828</v>
      </c>
      <c r="G413" s="38">
        <f>145.14+870+141.98+262.64+394.83</f>
        <v>1814.5899999999997</v>
      </c>
      <c r="H413" s="24"/>
      <c r="I413" s="139"/>
      <c r="J413" s="24"/>
      <c r="K413" s="35"/>
      <c r="L413" s="9"/>
      <c r="M413" s="9"/>
      <c r="N413" s="9"/>
      <c r="O413" s="9"/>
      <c r="P413" s="9"/>
      <c r="Q413" s="18">
        <f t="shared" si="21"/>
        <v>1814.5899999999997</v>
      </c>
      <c r="R413" s="18">
        <f t="shared" si="22"/>
        <v>0</v>
      </c>
      <c r="S413" s="18">
        <f t="shared" si="23"/>
        <v>1814.5899999999997</v>
      </c>
    </row>
    <row r="414" spans="1:19" x14ac:dyDescent="0.25">
      <c r="A414" s="45" t="s">
        <v>791</v>
      </c>
      <c r="B414" s="46" t="s">
        <v>792</v>
      </c>
      <c r="C414" s="46">
        <v>252</v>
      </c>
      <c r="D414" s="24" t="s">
        <v>796</v>
      </c>
      <c r="E414" s="24" t="s">
        <v>19</v>
      </c>
      <c r="F414" s="47">
        <v>41828</v>
      </c>
      <c r="G414" s="38">
        <f>161.54</f>
        <v>161.54</v>
      </c>
      <c r="H414" s="24"/>
      <c r="I414" s="139"/>
      <c r="J414" s="24"/>
      <c r="K414" s="35"/>
      <c r="L414" s="9"/>
      <c r="M414" s="9"/>
      <c r="N414" s="9"/>
      <c r="O414" s="9"/>
      <c r="P414" s="9"/>
      <c r="Q414" s="18">
        <f t="shared" si="21"/>
        <v>161.54</v>
      </c>
      <c r="R414" s="18">
        <f t="shared" si="22"/>
        <v>0</v>
      </c>
      <c r="S414" s="18">
        <f t="shared" si="23"/>
        <v>161.54</v>
      </c>
    </row>
    <row r="415" spans="1:19" x14ac:dyDescent="0.25">
      <c r="A415" s="45" t="s">
        <v>791</v>
      </c>
      <c r="B415" s="46" t="s">
        <v>792</v>
      </c>
      <c r="C415" s="46">
        <v>252</v>
      </c>
      <c r="D415" s="24" t="s">
        <v>797</v>
      </c>
      <c r="E415" s="24" t="s">
        <v>19</v>
      </c>
      <c r="F415" s="47">
        <v>41828</v>
      </c>
      <c r="G415" s="26">
        <f>279.31</f>
        <v>279.31</v>
      </c>
      <c r="H415" s="24"/>
      <c r="I415" s="139"/>
      <c r="J415" s="24"/>
      <c r="K415" s="35"/>
      <c r="L415" s="9"/>
      <c r="M415" s="9"/>
      <c r="N415" s="9"/>
      <c r="O415" s="9"/>
      <c r="P415" s="9"/>
      <c r="Q415" s="18">
        <f t="shared" si="21"/>
        <v>279.31</v>
      </c>
      <c r="R415" s="18">
        <f t="shared" si="22"/>
        <v>0</v>
      </c>
      <c r="S415" s="18">
        <f t="shared" si="23"/>
        <v>279.31</v>
      </c>
    </row>
    <row r="416" spans="1:19" x14ac:dyDescent="0.25">
      <c r="A416" s="45" t="s">
        <v>791</v>
      </c>
      <c r="B416" s="46" t="s">
        <v>792</v>
      </c>
      <c r="C416" s="46">
        <v>252</v>
      </c>
      <c r="D416" s="24" t="s">
        <v>798</v>
      </c>
      <c r="E416" s="24" t="s">
        <v>19</v>
      </c>
      <c r="F416" s="47">
        <v>41828</v>
      </c>
      <c r="G416" s="26">
        <f>435.48</f>
        <v>435.48</v>
      </c>
      <c r="H416" s="24"/>
      <c r="I416" s="139"/>
      <c r="J416" s="24"/>
      <c r="K416" s="35"/>
      <c r="L416" s="9"/>
      <c r="M416" s="9"/>
      <c r="N416" s="9"/>
      <c r="O416" s="9"/>
      <c r="P416" s="9"/>
      <c r="Q416" s="18">
        <f t="shared" si="21"/>
        <v>435.48</v>
      </c>
      <c r="R416" s="18">
        <f t="shared" si="22"/>
        <v>0</v>
      </c>
      <c r="S416" s="18">
        <f t="shared" si="23"/>
        <v>435.48</v>
      </c>
    </row>
    <row r="417" spans="1:19" x14ac:dyDescent="0.25">
      <c r="A417" s="45" t="s">
        <v>799</v>
      </c>
      <c r="B417" s="46" t="s">
        <v>800</v>
      </c>
      <c r="C417" s="46">
        <v>253</v>
      </c>
      <c r="D417" s="24" t="s">
        <v>801</v>
      </c>
      <c r="E417" s="24" t="s">
        <v>19</v>
      </c>
      <c r="F417" s="47">
        <v>41829</v>
      </c>
      <c r="G417" s="26">
        <f>185.84+88.38+51.41+128.95</f>
        <v>454.58</v>
      </c>
      <c r="H417" s="24"/>
      <c r="I417" s="139"/>
      <c r="J417" s="24"/>
      <c r="K417" s="35"/>
      <c r="L417" s="9"/>
      <c r="M417" s="9"/>
      <c r="N417" s="9"/>
      <c r="O417" s="9"/>
      <c r="P417" s="9"/>
      <c r="Q417" s="18">
        <f t="shared" si="21"/>
        <v>454.58</v>
      </c>
      <c r="R417" s="18">
        <f t="shared" si="22"/>
        <v>0</v>
      </c>
      <c r="S417" s="18">
        <f t="shared" si="23"/>
        <v>454.58</v>
      </c>
    </row>
    <row r="418" spans="1:19" x14ac:dyDescent="0.25">
      <c r="A418" s="45" t="s">
        <v>802</v>
      </c>
      <c r="B418" s="46" t="s">
        <v>803</v>
      </c>
      <c r="C418" s="46">
        <v>254</v>
      </c>
      <c r="D418" s="24" t="s">
        <v>686</v>
      </c>
      <c r="E418" s="24" t="s">
        <v>19</v>
      </c>
      <c r="F418" s="47">
        <v>41689</v>
      </c>
      <c r="G418" s="38">
        <v>160.47999999999999</v>
      </c>
      <c r="H418" s="24"/>
      <c r="I418" s="139"/>
      <c r="J418" s="24"/>
      <c r="K418" s="35"/>
      <c r="L418" s="9"/>
      <c r="M418" s="9"/>
      <c r="N418" s="9"/>
      <c r="O418" s="9"/>
      <c r="P418" s="9"/>
      <c r="Q418" s="18">
        <f t="shared" si="21"/>
        <v>160.47999999999999</v>
      </c>
      <c r="R418" s="18">
        <f t="shared" si="22"/>
        <v>0</v>
      </c>
      <c r="S418" s="18">
        <f t="shared" si="23"/>
        <v>160.47999999999999</v>
      </c>
    </row>
    <row r="419" spans="1:19" x14ac:dyDescent="0.25">
      <c r="A419" s="45" t="s">
        <v>804</v>
      </c>
      <c r="B419" s="46" t="s">
        <v>805</v>
      </c>
      <c r="C419" s="46">
        <v>255</v>
      </c>
      <c r="D419" s="24" t="s">
        <v>687</v>
      </c>
      <c r="E419" s="24" t="s">
        <v>19</v>
      </c>
      <c r="F419" s="47">
        <v>41737</v>
      </c>
      <c r="G419" s="38">
        <v>48</v>
      </c>
      <c r="H419" s="24"/>
      <c r="I419" s="139"/>
      <c r="J419" s="24"/>
      <c r="K419" s="35"/>
      <c r="L419" s="9"/>
      <c r="M419" s="9"/>
      <c r="N419" s="9"/>
      <c r="O419" s="9"/>
      <c r="P419" s="9"/>
      <c r="Q419" s="18">
        <f t="shared" si="21"/>
        <v>48</v>
      </c>
      <c r="R419" s="18">
        <f t="shared" si="22"/>
        <v>0</v>
      </c>
      <c r="S419" s="18">
        <f t="shared" si="23"/>
        <v>48</v>
      </c>
    </row>
    <row r="420" spans="1:19" x14ac:dyDescent="0.25">
      <c r="A420" s="45" t="s">
        <v>804</v>
      </c>
      <c r="B420" s="46" t="s">
        <v>805</v>
      </c>
      <c r="C420" s="46">
        <v>255</v>
      </c>
      <c r="D420" s="24" t="s">
        <v>688</v>
      </c>
      <c r="E420" s="24" t="s">
        <v>19</v>
      </c>
      <c r="F420" s="47">
        <v>41737</v>
      </c>
      <c r="G420" s="26"/>
      <c r="H420" s="50"/>
      <c r="I420" s="139"/>
      <c r="J420" s="24"/>
      <c r="K420" s="35"/>
      <c r="L420" s="9"/>
      <c r="M420" s="9"/>
      <c r="N420" s="9"/>
      <c r="O420" s="9"/>
      <c r="P420" s="9"/>
      <c r="Q420" s="18">
        <f t="shared" si="21"/>
        <v>0</v>
      </c>
      <c r="R420" s="18">
        <f t="shared" si="22"/>
        <v>0</v>
      </c>
      <c r="S420" s="18">
        <f t="shared" si="23"/>
        <v>0</v>
      </c>
    </row>
    <row r="421" spans="1:19" x14ac:dyDescent="0.25">
      <c r="A421" s="45" t="s">
        <v>806</v>
      </c>
      <c r="B421" s="46" t="s">
        <v>807</v>
      </c>
      <c r="C421" s="46">
        <v>256</v>
      </c>
      <c r="D421" s="24" t="s">
        <v>808</v>
      </c>
      <c r="E421" s="24" t="s">
        <v>19</v>
      </c>
      <c r="F421" s="47"/>
      <c r="G421" s="26"/>
      <c r="H421" s="50"/>
      <c r="I421" s="139"/>
      <c r="J421" s="24"/>
      <c r="K421" s="35"/>
      <c r="L421" s="9"/>
      <c r="M421" s="9"/>
      <c r="N421" s="9"/>
      <c r="O421" s="9"/>
      <c r="P421" s="9"/>
      <c r="Q421" s="18">
        <f t="shared" si="21"/>
        <v>0</v>
      </c>
      <c r="R421" s="18">
        <f t="shared" si="22"/>
        <v>0</v>
      </c>
      <c r="S421" s="18">
        <f t="shared" si="23"/>
        <v>0</v>
      </c>
    </row>
    <row r="422" spans="1:19" x14ac:dyDescent="0.25">
      <c r="A422" s="45" t="s">
        <v>809</v>
      </c>
      <c r="B422" s="46" t="s">
        <v>810</v>
      </c>
      <c r="C422" s="46">
        <v>257</v>
      </c>
      <c r="D422" s="24" t="s">
        <v>811</v>
      </c>
      <c r="E422" s="24" t="s">
        <v>19</v>
      </c>
      <c r="F422" s="47">
        <v>41836</v>
      </c>
      <c r="G422" s="29">
        <f>416.7</f>
        <v>416.7</v>
      </c>
      <c r="H422" s="50"/>
      <c r="I422" s="139"/>
      <c r="J422" s="24"/>
      <c r="K422" s="35"/>
      <c r="L422" s="9"/>
      <c r="M422" s="9"/>
      <c r="N422" s="9"/>
      <c r="O422" s="9"/>
      <c r="P422" s="9"/>
      <c r="Q422" s="18">
        <f t="shared" si="21"/>
        <v>416.7</v>
      </c>
      <c r="R422" s="18">
        <f t="shared" si="22"/>
        <v>0</v>
      </c>
      <c r="S422" s="18">
        <f t="shared" si="23"/>
        <v>416.7</v>
      </c>
    </row>
    <row r="423" spans="1:19" x14ac:dyDescent="0.25">
      <c r="A423" s="45" t="s">
        <v>809</v>
      </c>
      <c r="B423" s="46" t="s">
        <v>810</v>
      </c>
      <c r="C423" s="46">
        <v>257</v>
      </c>
      <c r="D423" s="24" t="s">
        <v>812</v>
      </c>
      <c r="E423" s="24" t="s">
        <v>19</v>
      </c>
      <c r="F423" s="47">
        <v>41836</v>
      </c>
      <c r="G423" s="26">
        <f>240+558+218.77+147.47+639+235.24+41.3+153.17+41.3+41.3+426.16+163.78+41.3+41.3+180.56+71.65+6042.7+158.42+469.01+76.69+115.77+41.3</f>
        <v>10144.19</v>
      </c>
      <c r="H423" s="50"/>
      <c r="I423" s="139">
        <f>750+1500</f>
        <v>2250</v>
      </c>
      <c r="J423" s="24"/>
      <c r="K423" s="35"/>
      <c r="L423" s="9"/>
      <c r="M423" s="9"/>
      <c r="N423" s="9"/>
      <c r="O423" s="9"/>
      <c r="P423" s="9"/>
      <c r="Q423" s="18">
        <f t="shared" si="21"/>
        <v>12394.19</v>
      </c>
      <c r="R423" s="18">
        <f t="shared" si="22"/>
        <v>0</v>
      </c>
      <c r="S423" s="18">
        <f t="shared" si="23"/>
        <v>12394.19</v>
      </c>
    </row>
    <row r="424" spans="1:19" x14ac:dyDescent="0.25">
      <c r="A424" s="45" t="s">
        <v>809</v>
      </c>
      <c r="B424" s="46" t="s">
        <v>810</v>
      </c>
      <c r="C424" s="46">
        <v>257</v>
      </c>
      <c r="D424" s="24" t="s">
        <v>813</v>
      </c>
      <c r="E424" s="24" t="s">
        <v>19</v>
      </c>
      <c r="F424" s="47">
        <v>41836</v>
      </c>
      <c r="G424" s="26">
        <f>187.48</f>
        <v>187.48</v>
      </c>
      <c r="H424" s="50"/>
      <c r="I424" s="139"/>
      <c r="J424" s="24"/>
      <c r="K424" s="35"/>
      <c r="L424" s="9"/>
      <c r="M424" s="9"/>
      <c r="N424" s="9"/>
      <c r="O424" s="9"/>
      <c r="P424" s="9"/>
      <c r="Q424" s="18">
        <f t="shared" si="21"/>
        <v>187.48</v>
      </c>
      <c r="R424" s="18">
        <f t="shared" si="22"/>
        <v>0</v>
      </c>
      <c r="S424" s="18">
        <f t="shared" si="23"/>
        <v>187.48</v>
      </c>
    </row>
    <row r="425" spans="1:19" x14ac:dyDescent="0.25">
      <c r="A425" s="45" t="s">
        <v>814</v>
      </c>
      <c r="B425" s="46" t="s">
        <v>815</v>
      </c>
      <c r="C425" s="46">
        <v>258</v>
      </c>
      <c r="D425" s="24" t="s">
        <v>816</v>
      </c>
      <c r="E425" s="24" t="s">
        <v>19</v>
      </c>
      <c r="F425" s="47">
        <v>41836</v>
      </c>
      <c r="G425" s="29">
        <f>248.9+320</f>
        <v>568.9</v>
      </c>
      <c r="H425" s="50"/>
      <c r="I425" s="139"/>
      <c r="J425" s="24"/>
      <c r="K425" s="35"/>
      <c r="L425" s="9"/>
      <c r="M425" s="9"/>
      <c r="N425" s="9"/>
      <c r="O425" s="9"/>
      <c r="P425" s="9"/>
      <c r="Q425" s="18">
        <f t="shared" si="21"/>
        <v>568.9</v>
      </c>
      <c r="R425" s="18">
        <f t="shared" si="22"/>
        <v>0</v>
      </c>
      <c r="S425" s="18">
        <f t="shared" si="23"/>
        <v>568.9</v>
      </c>
    </row>
    <row r="426" spans="1:19" x14ac:dyDescent="0.25">
      <c r="A426" s="45" t="s">
        <v>817</v>
      </c>
      <c r="B426" s="46" t="s">
        <v>818</v>
      </c>
      <c r="C426" s="46">
        <v>259</v>
      </c>
      <c r="D426" s="24" t="s">
        <v>819</v>
      </c>
      <c r="E426" s="24" t="s">
        <v>19</v>
      </c>
      <c r="F426" s="47">
        <v>41840</v>
      </c>
      <c r="G426" s="26">
        <f>47.2+173.46+47.2+64.9+436.6+272.58</f>
        <v>1041.94</v>
      </c>
      <c r="H426" s="50"/>
      <c r="I426" s="139">
        <v>1000</v>
      </c>
      <c r="J426" s="24"/>
      <c r="K426" s="35"/>
      <c r="L426" s="9"/>
      <c r="M426" s="9"/>
      <c r="N426" s="9"/>
      <c r="O426" s="9"/>
      <c r="P426" s="9"/>
      <c r="Q426" s="18">
        <f t="shared" si="21"/>
        <v>2041.94</v>
      </c>
      <c r="R426" s="18">
        <f t="shared" si="22"/>
        <v>0</v>
      </c>
      <c r="S426" s="18">
        <f t="shared" si="23"/>
        <v>2041.94</v>
      </c>
    </row>
    <row r="427" spans="1:19" x14ac:dyDescent="0.25">
      <c r="A427" s="45" t="s">
        <v>817</v>
      </c>
      <c r="B427" s="46" t="s">
        <v>818</v>
      </c>
      <c r="C427" s="46">
        <v>259</v>
      </c>
      <c r="D427" s="24" t="s">
        <v>820</v>
      </c>
      <c r="E427" s="24" t="s">
        <v>19</v>
      </c>
      <c r="F427" s="47">
        <v>41840</v>
      </c>
      <c r="G427" s="26">
        <f>113.12+240+129.69+31.81+47.2+47.2+185.5</f>
        <v>794.5200000000001</v>
      </c>
      <c r="H427" s="50"/>
      <c r="I427" s="139">
        <v>1325</v>
      </c>
      <c r="J427" s="24"/>
      <c r="K427" s="35"/>
      <c r="L427" s="9"/>
      <c r="M427" s="9"/>
      <c r="N427" s="9"/>
      <c r="O427" s="9"/>
      <c r="P427" s="9"/>
      <c r="Q427" s="18">
        <f t="shared" si="21"/>
        <v>2119.52</v>
      </c>
      <c r="R427" s="18">
        <f t="shared" si="22"/>
        <v>0</v>
      </c>
      <c r="S427" s="18">
        <f t="shared" si="23"/>
        <v>2119.52</v>
      </c>
    </row>
    <row r="428" spans="1:19" x14ac:dyDescent="0.25">
      <c r="A428" s="45" t="s">
        <v>817</v>
      </c>
      <c r="B428" s="46" t="s">
        <v>818</v>
      </c>
      <c r="C428" s="46">
        <v>259</v>
      </c>
      <c r="D428" s="24" t="s">
        <v>821</v>
      </c>
      <c r="E428" s="24" t="s">
        <v>19</v>
      </c>
      <c r="F428" s="47">
        <v>41840</v>
      </c>
      <c r="G428" s="29">
        <f>240+400.14</f>
        <v>640.14</v>
      </c>
      <c r="H428" s="50"/>
      <c r="I428" s="139"/>
      <c r="J428" s="24"/>
      <c r="K428" s="35"/>
      <c r="L428" s="9"/>
      <c r="M428" s="9"/>
      <c r="N428" s="9"/>
      <c r="O428" s="9"/>
      <c r="P428" s="9"/>
      <c r="Q428" s="18">
        <f t="shared" si="21"/>
        <v>640.14</v>
      </c>
      <c r="R428" s="18">
        <f t="shared" si="22"/>
        <v>0</v>
      </c>
      <c r="S428" s="18">
        <f t="shared" si="23"/>
        <v>640.14</v>
      </c>
    </row>
    <row r="429" spans="1:19" x14ac:dyDescent="0.25">
      <c r="A429" s="45" t="s">
        <v>817</v>
      </c>
      <c r="B429" s="46" t="s">
        <v>818</v>
      </c>
      <c r="C429" s="46">
        <v>259</v>
      </c>
      <c r="D429" s="24" t="s">
        <v>822</v>
      </c>
      <c r="E429" s="24" t="s">
        <v>19</v>
      </c>
      <c r="F429" s="47">
        <v>41840</v>
      </c>
      <c r="G429" s="29">
        <f>47.2+18.5+75.52</f>
        <v>141.22</v>
      </c>
      <c r="H429" s="50"/>
      <c r="I429" s="139"/>
      <c r="J429" s="24"/>
      <c r="K429" s="35"/>
      <c r="L429" s="9"/>
      <c r="M429" s="9"/>
      <c r="N429" s="9"/>
      <c r="O429" s="9"/>
      <c r="P429" s="9"/>
      <c r="Q429" s="18">
        <f t="shared" si="21"/>
        <v>141.22</v>
      </c>
      <c r="R429" s="18">
        <f t="shared" si="22"/>
        <v>0</v>
      </c>
      <c r="S429" s="18">
        <f t="shared" si="23"/>
        <v>141.22</v>
      </c>
    </row>
    <row r="430" spans="1:19" x14ac:dyDescent="0.25">
      <c r="A430" s="45" t="s">
        <v>817</v>
      </c>
      <c r="B430" s="46" t="s">
        <v>818</v>
      </c>
      <c r="C430" s="46">
        <v>259</v>
      </c>
      <c r="D430" s="24" t="s">
        <v>4550</v>
      </c>
      <c r="E430" s="24" t="s">
        <v>19</v>
      </c>
      <c r="F430" s="47">
        <v>41840</v>
      </c>
      <c r="G430" s="29">
        <v>58.65</v>
      </c>
      <c r="H430" s="50"/>
      <c r="I430" s="139"/>
      <c r="J430" s="24"/>
      <c r="K430" s="35"/>
      <c r="L430" s="9"/>
      <c r="M430" s="9"/>
      <c r="N430" s="9"/>
      <c r="O430" s="9"/>
      <c r="P430" s="9"/>
      <c r="Q430" s="18">
        <f t="shared" si="21"/>
        <v>58.65</v>
      </c>
      <c r="R430" s="18">
        <f t="shared" si="22"/>
        <v>0</v>
      </c>
      <c r="S430" s="18">
        <f t="shared" si="23"/>
        <v>58.65</v>
      </c>
    </row>
    <row r="431" spans="1:19" x14ac:dyDescent="0.25">
      <c r="A431" s="45" t="s">
        <v>823</v>
      </c>
      <c r="B431" s="46" t="s">
        <v>824</v>
      </c>
      <c r="C431" s="46">
        <v>260</v>
      </c>
      <c r="D431" s="24" t="s">
        <v>825</v>
      </c>
      <c r="E431" s="24" t="s">
        <v>19</v>
      </c>
      <c r="F431" s="47">
        <v>41841</v>
      </c>
      <c r="G431" s="26">
        <f>87.91+202.16</f>
        <v>290.07</v>
      </c>
      <c r="H431" s="24"/>
      <c r="I431" s="139"/>
      <c r="J431" s="24"/>
      <c r="K431" s="35"/>
      <c r="L431" s="9"/>
      <c r="M431" s="9"/>
      <c r="N431" s="9"/>
      <c r="O431" s="9"/>
      <c r="P431" s="9"/>
      <c r="Q431" s="18">
        <f t="shared" si="21"/>
        <v>290.07</v>
      </c>
      <c r="R431" s="18">
        <f t="shared" si="22"/>
        <v>0</v>
      </c>
      <c r="S431" s="18">
        <f t="shared" si="23"/>
        <v>290.07</v>
      </c>
    </row>
    <row r="432" spans="1:19" x14ac:dyDescent="0.25">
      <c r="A432" s="45" t="s">
        <v>826</v>
      </c>
      <c r="B432" s="46" t="s">
        <v>827</v>
      </c>
      <c r="C432" s="46">
        <v>261</v>
      </c>
      <c r="D432" s="24" t="s">
        <v>828</v>
      </c>
      <c r="E432" s="24" t="s">
        <v>19</v>
      </c>
      <c r="F432" s="47">
        <v>41841</v>
      </c>
      <c r="G432" s="26"/>
      <c r="H432" s="24"/>
      <c r="I432" s="139"/>
      <c r="J432" s="24"/>
      <c r="K432" s="35"/>
      <c r="L432" s="9"/>
      <c r="M432" s="9"/>
      <c r="N432" s="9"/>
      <c r="O432" s="9"/>
      <c r="P432" s="9"/>
      <c r="Q432" s="18">
        <f t="shared" si="21"/>
        <v>0</v>
      </c>
      <c r="R432" s="18">
        <f t="shared" si="22"/>
        <v>0</v>
      </c>
      <c r="S432" s="18">
        <f t="shared" si="23"/>
        <v>0</v>
      </c>
    </row>
    <row r="433" spans="1:19" x14ac:dyDescent="0.25">
      <c r="A433" s="45" t="s">
        <v>829</v>
      </c>
      <c r="B433" s="46" t="s">
        <v>830</v>
      </c>
      <c r="C433" s="46">
        <v>262</v>
      </c>
      <c r="D433" s="24" t="s">
        <v>689</v>
      </c>
      <c r="E433" s="24" t="s">
        <v>19</v>
      </c>
      <c r="F433" s="47">
        <v>41740</v>
      </c>
      <c r="G433" s="38">
        <v>116.3</v>
      </c>
      <c r="H433" s="24"/>
      <c r="I433" s="139"/>
      <c r="J433" s="24"/>
      <c r="K433" s="35"/>
      <c r="L433" s="9"/>
      <c r="M433" s="9"/>
      <c r="N433" s="9"/>
      <c r="O433" s="9"/>
      <c r="P433" s="9"/>
      <c r="Q433" s="18">
        <f t="shared" si="21"/>
        <v>116.3</v>
      </c>
      <c r="R433" s="18">
        <f t="shared" si="22"/>
        <v>0</v>
      </c>
      <c r="S433" s="18">
        <f t="shared" si="23"/>
        <v>116.3</v>
      </c>
    </row>
    <row r="434" spans="1:19" x14ac:dyDescent="0.25">
      <c r="A434" s="45" t="s">
        <v>831</v>
      </c>
      <c r="B434" s="46" t="s">
        <v>832</v>
      </c>
      <c r="C434" s="46">
        <v>263</v>
      </c>
      <c r="D434" s="24" t="s">
        <v>833</v>
      </c>
      <c r="E434" s="24" t="s">
        <v>19</v>
      </c>
      <c r="F434" s="14">
        <v>41833</v>
      </c>
      <c r="G434" s="29">
        <f>41.3+273.7</f>
        <v>315</v>
      </c>
      <c r="H434" s="24"/>
      <c r="I434" s="139"/>
      <c r="J434" s="24"/>
      <c r="K434" s="35"/>
      <c r="L434" s="9"/>
      <c r="M434" s="9"/>
      <c r="N434" s="9"/>
      <c r="O434" s="9"/>
      <c r="P434" s="9"/>
      <c r="Q434" s="18">
        <f t="shared" si="21"/>
        <v>315</v>
      </c>
      <c r="R434" s="18">
        <f t="shared" si="22"/>
        <v>0</v>
      </c>
      <c r="S434" s="18">
        <f t="shared" si="23"/>
        <v>315</v>
      </c>
    </row>
    <row r="435" spans="1:19" x14ac:dyDescent="0.25">
      <c r="A435" s="45" t="s">
        <v>831</v>
      </c>
      <c r="B435" s="46" t="s">
        <v>832</v>
      </c>
      <c r="C435" s="46">
        <v>263</v>
      </c>
      <c r="D435" s="24" t="s">
        <v>4180</v>
      </c>
      <c r="E435" s="24" t="s">
        <v>19</v>
      </c>
      <c r="F435" s="14">
        <v>41833</v>
      </c>
      <c r="G435" s="26">
        <f>48.03</f>
        <v>48.03</v>
      </c>
      <c r="H435" s="24"/>
      <c r="I435" s="139"/>
      <c r="J435" s="24"/>
      <c r="K435" s="35"/>
      <c r="L435" s="9"/>
      <c r="M435" s="9"/>
      <c r="N435" s="9"/>
      <c r="O435" s="9"/>
      <c r="P435" s="9"/>
      <c r="Q435" s="18">
        <f t="shared" si="21"/>
        <v>48.03</v>
      </c>
      <c r="R435" s="18">
        <f t="shared" si="22"/>
        <v>0</v>
      </c>
      <c r="S435" s="18">
        <f t="shared" si="23"/>
        <v>48.03</v>
      </c>
    </row>
    <row r="436" spans="1:19" x14ac:dyDescent="0.25">
      <c r="A436" s="45" t="s">
        <v>834</v>
      </c>
      <c r="B436" s="46" t="s">
        <v>835</v>
      </c>
      <c r="C436" s="46">
        <v>264</v>
      </c>
      <c r="D436" s="24" t="s">
        <v>836</v>
      </c>
      <c r="E436" s="24" t="s">
        <v>19</v>
      </c>
      <c r="F436" s="14">
        <v>41840</v>
      </c>
      <c r="G436" s="29">
        <f>134.3</f>
        <v>134.30000000000001</v>
      </c>
      <c r="H436" s="24"/>
      <c r="I436" s="139"/>
      <c r="J436" s="24"/>
      <c r="K436" s="35"/>
      <c r="L436" s="9"/>
      <c r="M436" s="9"/>
      <c r="N436" s="9"/>
      <c r="O436" s="9"/>
      <c r="P436" s="9"/>
      <c r="Q436" s="18">
        <f t="shared" si="21"/>
        <v>134.30000000000001</v>
      </c>
      <c r="R436" s="18">
        <f t="shared" si="22"/>
        <v>0</v>
      </c>
      <c r="S436" s="18">
        <f t="shared" si="23"/>
        <v>134.30000000000001</v>
      </c>
    </row>
    <row r="437" spans="1:19" x14ac:dyDescent="0.25">
      <c r="A437" s="45" t="s">
        <v>837</v>
      </c>
      <c r="B437" s="46" t="s">
        <v>838</v>
      </c>
      <c r="C437" s="46">
        <v>265</v>
      </c>
      <c r="D437" s="24" t="s">
        <v>839</v>
      </c>
      <c r="E437" s="24" t="s">
        <v>19</v>
      </c>
      <c r="F437" s="14">
        <v>41822</v>
      </c>
      <c r="G437" s="26">
        <f>168.78</f>
        <v>168.78</v>
      </c>
      <c r="H437" s="24"/>
      <c r="I437" s="139"/>
      <c r="J437" s="24"/>
      <c r="K437" s="35"/>
      <c r="L437" s="9"/>
      <c r="M437" s="9"/>
      <c r="N437" s="9"/>
      <c r="O437" s="9"/>
      <c r="P437" s="9"/>
      <c r="Q437" s="18">
        <f t="shared" si="21"/>
        <v>168.78</v>
      </c>
      <c r="R437" s="18">
        <f t="shared" si="22"/>
        <v>0</v>
      </c>
      <c r="S437" s="18">
        <f t="shared" si="23"/>
        <v>168.78</v>
      </c>
    </row>
    <row r="438" spans="1:19" x14ac:dyDescent="0.25">
      <c r="A438" s="45" t="s">
        <v>840</v>
      </c>
      <c r="B438" s="46" t="s">
        <v>841</v>
      </c>
      <c r="C438" s="46">
        <v>266</v>
      </c>
      <c r="D438" s="24" t="s">
        <v>842</v>
      </c>
      <c r="E438" s="24" t="s">
        <v>19</v>
      </c>
      <c r="F438" s="14">
        <v>41808</v>
      </c>
      <c r="G438" s="26">
        <f>186.86</f>
        <v>186.86</v>
      </c>
      <c r="H438" s="24"/>
      <c r="I438" s="139"/>
      <c r="J438" s="24"/>
      <c r="K438" s="35"/>
      <c r="L438" s="9"/>
      <c r="M438" s="9"/>
      <c r="N438" s="9"/>
      <c r="O438" s="9"/>
      <c r="P438" s="9"/>
      <c r="Q438" s="18">
        <f t="shared" si="21"/>
        <v>186.86</v>
      </c>
      <c r="R438" s="18">
        <f t="shared" si="22"/>
        <v>0</v>
      </c>
      <c r="S438" s="18">
        <f t="shared" si="23"/>
        <v>186.86</v>
      </c>
    </row>
    <row r="439" spans="1:19" x14ac:dyDescent="0.25">
      <c r="A439" s="45" t="s">
        <v>843</v>
      </c>
      <c r="B439" s="46" t="s">
        <v>844</v>
      </c>
      <c r="C439" s="46">
        <v>267</v>
      </c>
      <c r="D439" s="24" t="s">
        <v>845</v>
      </c>
      <c r="E439" s="24" t="s">
        <v>19</v>
      </c>
      <c r="F439" s="14">
        <v>41789</v>
      </c>
      <c r="G439" s="26">
        <f>926.37</f>
        <v>926.37</v>
      </c>
      <c r="H439" s="24"/>
      <c r="I439" s="139"/>
      <c r="J439" s="24"/>
      <c r="K439" s="35"/>
      <c r="L439" s="9"/>
      <c r="M439" s="9"/>
      <c r="N439" s="9"/>
      <c r="O439" s="9"/>
      <c r="P439" s="9"/>
      <c r="Q439" s="18">
        <f t="shared" si="21"/>
        <v>926.37</v>
      </c>
      <c r="R439" s="18">
        <f t="shared" si="22"/>
        <v>0</v>
      </c>
      <c r="S439" s="18">
        <f t="shared" si="23"/>
        <v>926.37</v>
      </c>
    </row>
    <row r="440" spans="1:19" x14ac:dyDescent="0.25">
      <c r="A440" s="45" t="s">
        <v>846</v>
      </c>
      <c r="B440" s="46" t="s">
        <v>847</v>
      </c>
      <c r="C440" s="46">
        <v>268</v>
      </c>
      <c r="D440" s="24" t="s">
        <v>848</v>
      </c>
      <c r="E440" s="24" t="s">
        <v>19</v>
      </c>
      <c r="F440" s="14">
        <v>41789</v>
      </c>
      <c r="G440" s="26">
        <f>86.93+47.2</f>
        <v>134.13</v>
      </c>
      <c r="H440" s="24"/>
      <c r="I440" s="139"/>
      <c r="J440" s="24"/>
      <c r="K440" s="35"/>
      <c r="L440" s="9"/>
      <c r="M440" s="9"/>
      <c r="N440" s="9"/>
      <c r="O440" s="9"/>
      <c r="P440" s="9"/>
      <c r="Q440" s="18">
        <f t="shared" si="21"/>
        <v>134.13</v>
      </c>
      <c r="R440" s="18">
        <f t="shared" si="22"/>
        <v>0</v>
      </c>
      <c r="S440" s="18">
        <f t="shared" si="23"/>
        <v>134.13</v>
      </c>
    </row>
    <row r="441" spans="1:19" x14ac:dyDescent="0.25">
      <c r="A441" s="45" t="s">
        <v>849</v>
      </c>
      <c r="B441" s="46" t="s">
        <v>850</v>
      </c>
      <c r="C441" s="46">
        <v>269</v>
      </c>
      <c r="D441" s="24" t="s">
        <v>851</v>
      </c>
      <c r="E441" s="24" t="s">
        <v>19</v>
      </c>
      <c r="F441" s="14">
        <v>41758</v>
      </c>
      <c r="G441" s="29">
        <f>237.7</f>
        <v>237.7</v>
      </c>
      <c r="H441" s="24"/>
      <c r="I441" s="139"/>
      <c r="J441" s="24"/>
      <c r="K441" s="35"/>
      <c r="L441" s="9"/>
      <c r="M441" s="9"/>
      <c r="N441" s="9"/>
      <c r="O441" s="9"/>
      <c r="P441" s="9"/>
      <c r="Q441" s="18">
        <f t="shared" si="21"/>
        <v>237.7</v>
      </c>
      <c r="R441" s="18">
        <f t="shared" si="22"/>
        <v>0</v>
      </c>
      <c r="S441" s="18">
        <f t="shared" si="23"/>
        <v>237.7</v>
      </c>
    </row>
    <row r="442" spans="1:19" x14ac:dyDescent="0.25">
      <c r="A442" s="45" t="s">
        <v>852</v>
      </c>
      <c r="B442" s="46" t="s">
        <v>853</v>
      </c>
      <c r="C442" s="46">
        <v>270</v>
      </c>
      <c r="D442" s="24" t="s">
        <v>854</v>
      </c>
      <c r="E442" s="24" t="s">
        <v>19</v>
      </c>
      <c r="F442" s="14">
        <v>41756</v>
      </c>
      <c r="G442" s="29">
        <f>48</f>
        <v>48</v>
      </c>
      <c r="H442" s="24"/>
      <c r="I442" s="139"/>
      <c r="J442" s="24"/>
      <c r="K442" s="35"/>
      <c r="L442" s="9"/>
      <c r="M442" s="9"/>
      <c r="N442" s="9"/>
      <c r="O442" s="9"/>
      <c r="P442" s="9"/>
      <c r="Q442" s="18">
        <f t="shared" si="21"/>
        <v>48</v>
      </c>
      <c r="R442" s="18">
        <f t="shared" si="22"/>
        <v>0</v>
      </c>
      <c r="S442" s="18">
        <f t="shared" si="23"/>
        <v>48</v>
      </c>
    </row>
    <row r="443" spans="1:19" x14ac:dyDescent="0.25">
      <c r="A443" s="45" t="s">
        <v>855</v>
      </c>
      <c r="B443" s="46" t="s">
        <v>856</v>
      </c>
      <c r="C443" s="46">
        <v>271</v>
      </c>
      <c r="D443" s="24" t="s">
        <v>857</v>
      </c>
      <c r="E443" s="24" t="s">
        <v>19</v>
      </c>
      <c r="F443" s="14">
        <v>41751</v>
      </c>
      <c r="G443" s="29">
        <f>90</f>
        <v>90</v>
      </c>
      <c r="H443" s="24"/>
      <c r="I443" s="139"/>
      <c r="J443" s="24"/>
      <c r="K443" s="35"/>
      <c r="L443" s="9"/>
      <c r="M443" s="9"/>
      <c r="N443" s="9"/>
      <c r="O443" s="9"/>
      <c r="P443" s="9"/>
      <c r="Q443" s="18">
        <f t="shared" si="21"/>
        <v>90</v>
      </c>
      <c r="R443" s="18">
        <f t="shared" si="22"/>
        <v>0</v>
      </c>
      <c r="S443" s="18">
        <f t="shared" si="23"/>
        <v>90</v>
      </c>
    </row>
    <row r="444" spans="1:19" x14ac:dyDescent="0.25">
      <c r="A444" s="45" t="s">
        <v>858</v>
      </c>
      <c r="B444" s="46" t="s">
        <v>859</v>
      </c>
      <c r="C444" s="46">
        <v>272</v>
      </c>
      <c r="D444" s="24" t="s">
        <v>860</v>
      </c>
      <c r="E444" s="24" t="s">
        <v>19</v>
      </c>
      <c r="F444" s="14">
        <v>41748</v>
      </c>
      <c r="G444" s="29">
        <f>105.4</f>
        <v>105.4</v>
      </c>
      <c r="H444" s="24"/>
      <c r="I444" s="139"/>
      <c r="J444" s="24"/>
      <c r="K444" s="35"/>
      <c r="L444" s="9"/>
      <c r="M444" s="9"/>
      <c r="N444" s="9"/>
      <c r="O444" s="9"/>
      <c r="P444" s="9"/>
      <c r="Q444" s="18">
        <f t="shared" si="21"/>
        <v>105.4</v>
      </c>
      <c r="R444" s="18">
        <f t="shared" si="22"/>
        <v>0</v>
      </c>
      <c r="S444" s="18">
        <f t="shared" si="23"/>
        <v>105.4</v>
      </c>
    </row>
    <row r="445" spans="1:19" x14ac:dyDescent="0.25">
      <c r="A445" s="45" t="s">
        <v>861</v>
      </c>
      <c r="B445" s="46" t="s">
        <v>862</v>
      </c>
      <c r="C445" s="46">
        <v>273</v>
      </c>
      <c r="D445" s="24" t="s">
        <v>863</v>
      </c>
      <c r="E445" s="24" t="s">
        <v>19</v>
      </c>
      <c r="F445" s="14">
        <v>41783</v>
      </c>
      <c r="G445" s="26">
        <f>188.69+40</f>
        <v>228.69</v>
      </c>
      <c r="H445" s="24"/>
      <c r="I445" s="139"/>
      <c r="J445" s="24"/>
      <c r="K445" s="35"/>
      <c r="L445" s="9"/>
      <c r="M445" s="9"/>
      <c r="N445" s="9"/>
      <c r="O445" s="9"/>
      <c r="P445" s="9"/>
      <c r="Q445" s="18">
        <f t="shared" si="21"/>
        <v>228.69</v>
      </c>
      <c r="R445" s="18">
        <f t="shared" si="22"/>
        <v>0</v>
      </c>
      <c r="S445" s="18">
        <f t="shared" si="23"/>
        <v>228.69</v>
      </c>
    </row>
    <row r="446" spans="1:19" x14ac:dyDescent="0.25">
      <c r="A446" s="45" t="s">
        <v>865</v>
      </c>
      <c r="B446" s="46" t="s">
        <v>866</v>
      </c>
      <c r="C446" s="46">
        <v>274</v>
      </c>
      <c r="D446" s="24" t="s">
        <v>864</v>
      </c>
      <c r="E446" s="24" t="s">
        <v>19</v>
      </c>
      <c r="F446" s="14">
        <v>41800</v>
      </c>
      <c r="G446" s="26">
        <f>56.93</f>
        <v>56.93</v>
      </c>
      <c r="H446" s="24"/>
      <c r="I446" s="139"/>
      <c r="J446" s="24"/>
      <c r="K446" s="35"/>
      <c r="L446" s="9"/>
      <c r="M446" s="9"/>
      <c r="N446" s="9"/>
      <c r="O446" s="9"/>
      <c r="P446" s="9"/>
      <c r="Q446" s="18">
        <f t="shared" si="21"/>
        <v>56.93</v>
      </c>
      <c r="R446" s="18">
        <f t="shared" si="22"/>
        <v>0</v>
      </c>
      <c r="S446" s="18">
        <f t="shared" si="23"/>
        <v>56.93</v>
      </c>
    </row>
    <row r="447" spans="1:19" x14ac:dyDescent="0.25">
      <c r="A447" s="45" t="s">
        <v>867</v>
      </c>
      <c r="B447" s="46" t="s">
        <v>868</v>
      </c>
      <c r="C447" s="46">
        <v>275</v>
      </c>
      <c r="D447" s="24" t="s">
        <v>869</v>
      </c>
      <c r="E447" s="24" t="s">
        <v>19</v>
      </c>
      <c r="F447" s="14">
        <v>41795</v>
      </c>
      <c r="G447" s="26">
        <f>195.07</f>
        <v>195.07</v>
      </c>
      <c r="H447" s="24"/>
      <c r="I447" s="139"/>
      <c r="J447" s="24"/>
      <c r="K447" s="35"/>
      <c r="L447" s="9"/>
      <c r="M447" s="9"/>
      <c r="N447" s="9"/>
      <c r="O447" s="9"/>
      <c r="P447" s="9"/>
      <c r="Q447" s="18">
        <f t="shared" si="21"/>
        <v>195.07</v>
      </c>
      <c r="R447" s="18">
        <f t="shared" si="22"/>
        <v>0</v>
      </c>
      <c r="S447" s="18">
        <f t="shared" si="23"/>
        <v>195.07</v>
      </c>
    </row>
    <row r="448" spans="1:19" x14ac:dyDescent="0.25">
      <c r="A448" s="45" t="s">
        <v>870</v>
      </c>
      <c r="B448" s="46" t="s">
        <v>871</v>
      </c>
      <c r="C448" s="46">
        <v>276</v>
      </c>
      <c r="D448" s="24" t="s">
        <v>872</v>
      </c>
      <c r="E448" s="24" t="s">
        <v>19</v>
      </c>
      <c r="F448" s="14">
        <v>41786</v>
      </c>
      <c r="G448" s="26">
        <f>198.34</f>
        <v>198.34</v>
      </c>
      <c r="H448" s="24"/>
      <c r="I448" s="139"/>
      <c r="J448" s="24"/>
      <c r="K448" s="35"/>
      <c r="L448" s="9"/>
      <c r="M448" s="9"/>
      <c r="N448" s="9"/>
      <c r="O448" s="9"/>
      <c r="P448" s="9"/>
      <c r="Q448" s="18">
        <f t="shared" si="21"/>
        <v>198.34</v>
      </c>
      <c r="R448" s="18">
        <f t="shared" si="22"/>
        <v>0</v>
      </c>
      <c r="S448" s="18">
        <f t="shared" si="23"/>
        <v>198.34</v>
      </c>
    </row>
    <row r="449" spans="1:19" x14ac:dyDescent="0.25">
      <c r="A449" s="45" t="s">
        <v>874</v>
      </c>
      <c r="B449" s="46" t="s">
        <v>875</v>
      </c>
      <c r="C449" s="46">
        <v>277</v>
      </c>
      <c r="D449" s="24" t="s">
        <v>873</v>
      </c>
      <c r="E449" s="24" t="s">
        <v>19</v>
      </c>
      <c r="F449" s="14">
        <v>41793</v>
      </c>
      <c r="G449" s="26">
        <f>270.52</f>
        <v>270.52</v>
      </c>
      <c r="H449" s="24"/>
      <c r="I449" s="139"/>
      <c r="J449" s="24"/>
      <c r="K449" s="35"/>
      <c r="L449" s="9"/>
      <c r="M449" s="9"/>
      <c r="N449" s="9"/>
      <c r="O449" s="9"/>
      <c r="P449" s="9"/>
      <c r="Q449" s="18">
        <f t="shared" si="21"/>
        <v>270.52</v>
      </c>
      <c r="R449" s="18">
        <f t="shared" si="22"/>
        <v>0</v>
      </c>
      <c r="S449" s="18">
        <f t="shared" si="23"/>
        <v>270.52</v>
      </c>
    </row>
    <row r="450" spans="1:19" x14ac:dyDescent="0.25">
      <c r="A450" s="45" t="s">
        <v>876</v>
      </c>
      <c r="B450" s="46" t="s">
        <v>877</v>
      </c>
      <c r="C450" s="46">
        <v>278</v>
      </c>
      <c r="D450" s="24" t="s">
        <v>878</v>
      </c>
      <c r="E450" s="24" t="s">
        <v>19</v>
      </c>
      <c r="F450" s="14">
        <v>41854</v>
      </c>
      <c r="G450" s="26">
        <f>240+75.35+477.31</f>
        <v>792.66000000000008</v>
      </c>
      <c r="H450" s="24"/>
      <c r="I450" s="139"/>
      <c r="J450" s="24"/>
      <c r="K450" s="35"/>
      <c r="L450" s="9"/>
      <c r="M450" s="9"/>
      <c r="N450" s="9"/>
      <c r="O450" s="9"/>
      <c r="P450" s="9"/>
      <c r="Q450" s="18">
        <f t="shared" si="21"/>
        <v>792.66000000000008</v>
      </c>
      <c r="R450" s="18">
        <f t="shared" si="22"/>
        <v>0</v>
      </c>
      <c r="S450" s="18">
        <f t="shared" si="23"/>
        <v>792.66000000000008</v>
      </c>
    </row>
    <row r="451" spans="1:19" x14ac:dyDescent="0.25">
      <c r="A451" s="45" t="s">
        <v>879</v>
      </c>
      <c r="B451" s="46" t="s">
        <v>880</v>
      </c>
      <c r="C451" s="46">
        <v>279</v>
      </c>
      <c r="D451" s="24" t="s">
        <v>881</v>
      </c>
      <c r="E451" s="24" t="s">
        <v>19</v>
      </c>
      <c r="F451" s="14">
        <v>41856</v>
      </c>
      <c r="G451" s="26">
        <f>240+121.26+96.57+47.2+59.09+283.22</f>
        <v>847.34</v>
      </c>
      <c r="H451" s="24"/>
      <c r="I451" s="139">
        <f>500</f>
        <v>500</v>
      </c>
      <c r="J451" s="24"/>
      <c r="K451" s="35"/>
      <c r="L451" s="9"/>
      <c r="M451" s="9"/>
      <c r="N451" s="9"/>
      <c r="O451" s="9"/>
      <c r="P451" s="9"/>
      <c r="Q451" s="18">
        <f t="shared" si="21"/>
        <v>1347.3400000000001</v>
      </c>
      <c r="R451" s="18">
        <f t="shared" si="22"/>
        <v>0</v>
      </c>
      <c r="S451" s="18">
        <f t="shared" si="23"/>
        <v>1347.3400000000001</v>
      </c>
    </row>
    <row r="452" spans="1:19" x14ac:dyDescent="0.25">
      <c r="A452" s="45" t="s">
        <v>879</v>
      </c>
      <c r="B452" s="46" t="s">
        <v>880</v>
      </c>
      <c r="C452" s="46">
        <v>279</v>
      </c>
      <c r="D452" s="24" t="s">
        <v>3501</v>
      </c>
      <c r="E452" s="24" t="s">
        <v>19</v>
      </c>
      <c r="F452" s="14">
        <v>41856</v>
      </c>
      <c r="G452" s="26">
        <f>105.15</f>
        <v>105.15</v>
      </c>
      <c r="H452" s="24"/>
      <c r="I452" s="139"/>
      <c r="J452" s="24"/>
      <c r="K452" s="35"/>
      <c r="L452" s="9"/>
      <c r="M452" s="9"/>
      <c r="N452" s="9"/>
      <c r="O452" s="9"/>
      <c r="P452" s="9"/>
      <c r="Q452" s="18">
        <f t="shared" si="21"/>
        <v>105.15</v>
      </c>
      <c r="R452" s="18">
        <f t="shared" si="22"/>
        <v>0</v>
      </c>
      <c r="S452" s="18">
        <f t="shared" si="23"/>
        <v>105.15</v>
      </c>
    </row>
    <row r="453" spans="1:19" x14ac:dyDescent="0.25">
      <c r="A453" s="45" t="s">
        <v>879</v>
      </c>
      <c r="B453" s="46" t="s">
        <v>880</v>
      </c>
      <c r="C453" s="46">
        <v>279</v>
      </c>
      <c r="D453" s="24" t="s">
        <v>882</v>
      </c>
      <c r="E453" s="24" t="s">
        <v>19</v>
      </c>
      <c r="F453" s="14">
        <v>41856</v>
      </c>
      <c r="G453" s="26">
        <f>83.6+108.01+172.76</f>
        <v>364.37</v>
      </c>
      <c r="H453" s="24"/>
      <c r="I453" s="139">
        <f>175</f>
        <v>175</v>
      </c>
      <c r="J453" s="24"/>
      <c r="K453" s="35"/>
      <c r="L453" s="9"/>
      <c r="M453" s="9"/>
      <c r="N453" s="9"/>
      <c r="O453" s="9"/>
      <c r="P453" s="9"/>
      <c r="Q453" s="18">
        <f t="shared" si="21"/>
        <v>539.37</v>
      </c>
      <c r="R453" s="18">
        <f t="shared" si="22"/>
        <v>0</v>
      </c>
      <c r="S453" s="18">
        <f t="shared" si="23"/>
        <v>539.37</v>
      </c>
    </row>
    <row r="454" spans="1:19" x14ac:dyDescent="0.25">
      <c r="A454" s="45" t="s">
        <v>883</v>
      </c>
      <c r="B454" s="46" t="s">
        <v>884</v>
      </c>
      <c r="C454" s="46">
        <v>280</v>
      </c>
      <c r="D454" s="24" t="s">
        <v>885</v>
      </c>
      <c r="E454" s="24" t="s">
        <v>19</v>
      </c>
      <c r="F454" s="14">
        <v>41851</v>
      </c>
      <c r="G454" s="26">
        <f>76.4+99.21+433.89+41.3+318.46</f>
        <v>969.26</v>
      </c>
      <c r="H454" s="24"/>
      <c r="I454" s="139">
        <f>750</f>
        <v>750</v>
      </c>
      <c r="J454" s="24"/>
      <c r="K454" s="35"/>
      <c r="L454" s="9"/>
      <c r="M454" s="9"/>
      <c r="N454" s="9"/>
      <c r="O454" s="9"/>
      <c r="P454" s="9"/>
      <c r="Q454" s="18">
        <f t="shared" si="21"/>
        <v>1719.26</v>
      </c>
      <c r="R454" s="18">
        <f t="shared" si="22"/>
        <v>0</v>
      </c>
      <c r="S454" s="18">
        <f t="shared" si="23"/>
        <v>1719.26</v>
      </c>
    </row>
    <row r="455" spans="1:19" x14ac:dyDescent="0.25">
      <c r="A455" s="45" t="s">
        <v>887</v>
      </c>
      <c r="B455" s="46" t="s">
        <v>888</v>
      </c>
      <c r="C455" s="46">
        <v>281</v>
      </c>
      <c r="D455" s="24" t="s">
        <v>886</v>
      </c>
      <c r="E455" s="24" t="s">
        <v>19</v>
      </c>
      <c r="F455" s="14">
        <v>41859</v>
      </c>
      <c r="G455" s="26">
        <f>563.66</f>
        <v>563.66</v>
      </c>
      <c r="H455" s="24"/>
      <c r="I455" s="139"/>
      <c r="J455" s="24"/>
      <c r="K455" s="35"/>
      <c r="L455" s="9"/>
      <c r="M455" s="9"/>
      <c r="N455" s="9"/>
      <c r="O455" s="9"/>
      <c r="P455" s="9"/>
      <c r="Q455" s="18">
        <f t="shared" si="21"/>
        <v>563.66</v>
      </c>
      <c r="R455" s="18">
        <f t="shared" si="22"/>
        <v>0</v>
      </c>
      <c r="S455" s="18">
        <f t="shared" si="23"/>
        <v>563.66</v>
      </c>
    </row>
    <row r="456" spans="1:19" x14ac:dyDescent="0.25">
      <c r="A456" s="45" t="s">
        <v>889</v>
      </c>
      <c r="B456" s="46" t="s">
        <v>890</v>
      </c>
      <c r="C456" s="46">
        <v>282</v>
      </c>
      <c r="D456" s="24" t="s">
        <v>891</v>
      </c>
      <c r="E456" s="24" t="s">
        <v>19</v>
      </c>
      <c r="F456" s="14">
        <v>41784</v>
      </c>
      <c r="G456" s="29">
        <f>110.8</f>
        <v>110.8</v>
      </c>
      <c r="H456" s="24"/>
      <c r="I456" s="139"/>
      <c r="J456" s="24"/>
      <c r="K456" s="35"/>
      <c r="L456" s="9"/>
      <c r="M456" s="9"/>
      <c r="N456" s="9"/>
      <c r="O456" s="9"/>
      <c r="P456" s="9"/>
      <c r="Q456" s="18">
        <f t="shared" si="21"/>
        <v>110.8</v>
      </c>
      <c r="R456" s="18">
        <f t="shared" si="22"/>
        <v>0</v>
      </c>
      <c r="S456" s="18">
        <f t="shared" si="23"/>
        <v>110.8</v>
      </c>
    </row>
    <row r="457" spans="1:19" x14ac:dyDescent="0.25">
      <c r="A457" s="45" t="s">
        <v>892</v>
      </c>
      <c r="B457" s="46" t="s">
        <v>893</v>
      </c>
      <c r="C457" s="46">
        <v>283</v>
      </c>
      <c r="D457" s="24" t="s">
        <v>894</v>
      </c>
      <c r="E457" s="24" t="s">
        <v>19</v>
      </c>
      <c r="F457" s="14">
        <v>41786</v>
      </c>
      <c r="G457" s="29">
        <f>480.5</f>
        <v>480.5</v>
      </c>
      <c r="H457" s="24"/>
      <c r="I457" s="139"/>
      <c r="J457" s="24"/>
      <c r="K457" s="35"/>
      <c r="L457" s="9"/>
      <c r="M457" s="9"/>
      <c r="N457" s="9"/>
      <c r="O457" s="9"/>
      <c r="P457" s="9"/>
      <c r="Q457" s="18">
        <f t="shared" si="21"/>
        <v>480.5</v>
      </c>
      <c r="R457" s="18">
        <f t="shared" si="22"/>
        <v>0</v>
      </c>
      <c r="S457" s="18">
        <f t="shared" si="23"/>
        <v>480.5</v>
      </c>
    </row>
    <row r="458" spans="1:19" x14ac:dyDescent="0.25">
      <c r="A458" s="45" t="s">
        <v>895</v>
      </c>
      <c r="B458" s="46" t="s">
        <v>896</v>
      </c>
      <c r="C458" s="46">
        <v>284</v>
      </c>
      <c r="D458" s="24" t="s">
        <v>897</v>
      </c>
      <c r="E458" s="24" t="s">
        <v>19</v>
      </c>
      <c r="F458" s="14">
        <v>41788</v>
      </c>
      <c r="G458" s="29">
        <f>40</f>
        <v>40</v>
      </c>
      <c r="H458" s="24"/>
      <c r="I458" s="139"/>
      <c r="J458" s="24"/>
      <c r="K458" s="35"/>
      <c r="L458" s="9"/>
      <c r="M458" s="9"/>
      <c r="N458" s="9"/>
      <c r="O458" s="9"/>
      <c r="P458" s="9"/>
      <c r="Q458" s="18">
        <f t="shared" si="21"/>
        <v>40</v>
      </c>
      <c r="R458" s="18">
        <f t="shared" si="22"/>
        <v>0</v>
      </c>
      <c r="S458" s="18">
        <f t="shared" si="23"/>
        <v>40</v>
      </c>
    </row>
    <row r="459" spans="1:19" x14ac:dyDescent="0.25">
      <c r="A459" s="45" t="s">
        <v>898</v>
      </c>
      <c r="B459" s="46" t="s">
        <v>899</v>
      </c>
      <c r="C459" s="46">
        <v>285</v>
      </c>
      <c r="D459" s="24" t="s">
        <v>900</v>
      </c>
      <c r="E459" s="24" t="s">
        <v>19</v>
      </c>
      <c r="F459" s="14">
        <v>41790</v>
      </c>
      <c r="G459" s="29">
        <f>110+73.4</f>
        <v>183.4</v>
      </c>
      <c r="H459" s="24"/>
      <c r="I459" s="139"/>
      <c r="J459" s="24"/>
      <c r="K459" s="35"/>
      <c r="L459" s="9"/>
      <c r="M459" s="9"/>
      <c r="N459" s="9"/>
      <c r="O459" s="9"/>
      <c r="P459" s="9"/>
      <c r="Q459" s="18">
        <f t="shared" si="21"/>
        <v>183.4</v>
      </c>
      <c r="R459" s="18">
        <f t="shared" si="22"/>
        <v>0</v>
      </c>
      <c r="S459" s="18">
        <f t="shared" si="23"/>
        <v>183.4</v>
      </c>
    </row>
    <row r="460" spans="1:19" x14ac:dyDescent="0.25">
      <c r="A460" s="45" t="s">
        <v>901</v>
      </c>
      <c r="B460" s="46" t="s">
        <v>902</v>
      </c>
      <c r="C460" s="46">
        <v>286</v>
      </c>
      <c r="D460" s="24" t="s">
        <v>903</v>
      </c>
      <c r="E460" s="24" t="s">
        <v>19</v>
      </c>
      <c r="F460" s="14">
        <v>41791</v>
      </c>
      <c r="G460" s="29">
        <f>174.5</f>
        <v>174.5</v>
      </c>
      <c r="H460" s="24"/>
      <c r="I460" s="139"/>
      <c r="J460" s="24"/>
      <c r="K460" s="35"/>
      <c r="L460" s="9"/>
      <c r="M460" s="9"/>
      <c r="N460" s="9"/>
      <c r="O460" s="9"/>
      <c r="P460" s="9"/>
      <c r="Q460" s="18">
        <f t="shared" si="21"/>
        <v>174.5</v>
      </c>
      <c r="R460" s="18">
        <f t="shared" si="22"/>
        <v>0</v>
      </c>
      <c r="S460" s="18">
        <f t="shared" si="23"/>
        <v>174.5</v>
      </c>
    </row>
    <row r="461" spans="1:19" x14ac:dyDescent="0.25">
      <c r="A461" s="45" t="s">
        <v>904</v>
      </c>
      <c r="B461" s="46" t="s">
        <v>905</v>
      </c>
      <c r="C461" s="46">
        <v>287</v>
      </c>
      <c r="D461" s="24" t="s">
        <v>906</v>
      </c>
      <c r="E461" s="24" t="s">
        <v>19</v>
      </c>
      <c r="F461" s="14">
        <v>41792</v>
      </c>
      <c r="G461" s="29">
        <f>90</f>
        <v>90</v>
      </c>
      <c r="H461" s="24"/>
      <c r="I461" s="139"/>
      <c r="J461" s="24"/>
      <c r="K461" s="35"/>
      <c r="L461" s="9"/>
      <c r="M461" s="9"/>
      <c r="N461" s="9"/>
      <c r="O461" s="9"/>
      <c r="P461" s="9"/>
      <c r="Q461" s="18">
        <f t="shared" si="21"/>
        <v>90</v>
      </c>
      <c r="R461" s="18">
        <f t="shared" si="22"/>
        <v>0</v>
      </c>
      <c r="S461" s="18">
        <f t="shared" si="23"/>
        <v>90</v>
      </c>
    </row>
    <row r="462" spans="1:19" x14ac:dyDescent="0.25">
      <c r="A462" s="45" t="s">
        <v>907</v>
      </c>
      <c r="B462" s="46" t="s">
        <v>908</v>
      </c>
      <c r="C462" s="46">
        <v>288</v>
      </c>
      <c r="D462" s="24" t="s">
        <v>909</v>
      </c>
      <c r="E462" s="24" t="s">
        <v>19</v>
      </c>
      <c r="F462" s="14">
        <v>41793</v>
      </c>
      <c r="G462" s="29">
        <f>115.5</f>
        <v>115.5</v>
      </c>
      <c r="H462" s="24"/>
      <c r="I462" s="139"/>
      <c r="J462" s="24"/>
      <c r="K462" s="35"/>
      <c r="L462" s="9"/>
      <c r="M462" s="9"/>
      <c r="N462" s="9"/>
      <c r="O462" s="9"/>
      <c r="P462" s="9"/>
      <c r="Q462" s="18">
        <f t="shared" si="21"/>
        <v>115.5</v>
      </c>
      <c r="R462" s="18">
        <f t="shared" si="22"/>
        <v>0</v>
      </c>
      <c r="S462" s="18">
        <f t="shared" si="23"/>
        <v>115.5</v>
      </c>
    </row>
    <row r="463" spans="1:19" x14ac:dyDescent="0.25">
      <c r="A463" s="45" t="s">
        <v>910</v>
      </c>
      <c r="B463" s="46" t="s">
        <v>911</v>
      </c>
      <c r="C463" s="46">
        <v>289</v>
      </c>
      <c r="D463" s="24" t="s">
        <v>912</v>
      </c>
      <c r="E463" s="24" t="s">
        <v>19</v>
      </c>
      <c r="F463" s="14">
        <v>41794</v>
      </c>
      <c r="G463" s="29">
        <f>149.8</f>
        <v>149.80000000000001</v>
      </c>
      <c r="H463" s="24"/>
      <c r="I463" s="139"/>
      <c r="J463" s="24"/>
      <c r="K463" s="35"/>
      <c r="L463" s="9"/>
      <c r="M463" s="9"/>
      <c r="N463" s="9"/>
      <c r="O463" s="9"/>
      <c r="P463" s="9"/>
      <c r="Q463" s="18">
        <f t="shared" si="21"/>
        <v>149.80000000000001</v>
      </c>
      <c r="R463" s="18">
        <f t="shared" si="22"/>
        <v>0</v>
      </c>
      <c r="S463" s="18">
        <f t="shared" si="23"/>
        <v>149.80000000000001</v>
      </c>
    </row>
    <row r="464" spans="1:19" x14ac:dyDescent="0.25">
      <c r="A464" s="45" t="s">
        <v>910</v>
      </c>
      <c r="B464" s="46" t="s">
        <v>911</v>
      </c>
      <c r="C464" s="46">
        <v>289</v>
      </c>
      <c r="D464" s="24" t="s">
        <v>913</v>
      </c>
      <c r="E464" s="24" t="s">
        <v>19</v>
      </c>
      <c r="F464" s="14">
        <v>41794</v>
      </c>
      <c r="G464" s="29">
        <f>81.9</f>
        <v>81.900000000000006</v>
      </c>
      <c r="H464" s="24"/>
      <c r="I464" s="139"/>
      <c r="J464" s="24"/>
      <c r="K464" s="35"/>
      <c r="L464" s="9"/>
      <c r="M464" s="9"/>
      <c r="N464" s="9"/>
      <c r="O464" s="9"/>
      <c r="P464" s="9"/>
      <c r="Q464" s="18">
        <f t="shared" si="21"/>
        <v>81.900000000000006</v>
      </c>
      <c r="R464" s="18">
        <f t="shared" si="22"/>
        <v>0</v>
      </c>
      <c r="S464" s="18">
        <f t="shared" si="23"/>
        <v>81.900000000000006</v>
      </c>
    </row>
    <row r="465" spans="1:19" x14ac:dyDescent="0.25">
      <c r="A465" s="45" t="s">
        <v>914</v>
      </c>
      <c r="B465" s="46" t="s">
        <v>915</v>
      </c>
      <c r="C465" s="46">
        <v>290</v>
      </c>
      <c r="D465" s="24" t="s">
        <v>939</v>
      </c>
      <c r="E465" s="24" t="s">
        <v>19</v>
      </c>
      <c r="F465" s="14">
        <v>41811</v>
      </c>
      <c r="G465" s="29">
        <f>114.9</f>
        <v>114.9</v>
      </c>
      <c r="H465" s="24"/>
      <c r="I465" s="139"/>
      <c r="J465" s="24"/>
      <c r="K465" s="35"/>
      <c r="L465" s="9"/>
      <c r="M465" s="9"/>
      <c r="N465" s="9"/>
      <c r="O465" s="9"/>
      <c r="P465" s="9"/>
      <c r="Q465" s="18">
        <f t="shared" ref="Q465:Q528" si="24">+G465+I465+K465+M465+O465</f>
        <v>114.9</v>
      </c>
      <c r="R465" s="18">
        <f t="shared" ref="R465:R528" si="25">+H465+J465+L465+N465+P465</f>
        <v>0</v>
      </c>
      <c r="S465" s="18">
        <f t="shared" ref="S465:S528" si="26">+Q465+R465</f>
        <v>114.9</v>
      </c>
    </row>
    <row r="466" spans="1:19" x14ac:dyDescent="0.25">
      <c r="A466" s="45" t="s">
        <v>914</v>
      </c>
      <c r="B466" s="46" t="s">
        <v>915</v>
      </c>
      <c r="C466" s="46">
        <v>290</v>
      </c>
      <c r="D466" s="24" t="s">
        <v>938</v>
      </c>
      <c r="E466" s="24" t="s">
        <v>19</v>
      </c>
      <c r="F466" s="14">
        <v>41811</v>
      </c>
      <c r="G466" s="29">
        <f>146.9</f>
        <v>146.9</v>
      </c>
      <c r="H466" s="24"/>
      <c r="I466" s="139"/>
      <c r="J466" s="24"/>
      <c r="K466" s="35"/>
      <c r="L466" s="9"/>
      <c r="M466" s="9"/>
      <c r="N466" s="9"/>
      <c r="O466" s="9"/>
      <c r="P466" s="9"/>
      <c r="Q466" s="18">
        <f t="shared" si="24"/>
        <v>146.9</v>
      </c>
      <c r="R466" s="18">
        <f t="shared" si="25"/>
        <v>0</v>
      </c>
      <c r="S466" s="18">
        <f t="shared" si="26"/>
        <v>146.9</v>
      </c>
    </row>
    <row r="467" spans="1:19" x14ac:dyDescent="0.25">
      <c r="A467" s="45" t="s">
        <v>917</v>
      </c>
      <c r="B467" s="46" t="s">
        <v>918</v>
      </c>
      <c r="C467" s="46">
        <v>291</v>
      </c>
      <c r="D467" s="24" t="s">
        <v>916</v>
      </c>
      <c r="E467" s="24" t="s">
        <v>19</v>
      </c>
      <c r="F467" s="14">
        <v>41821</v>
      </c>
      <c r="G467" s="29">
        <f>105</f>
        <v>105</v>
      </c>
      <c r="H467" s="24"/>
      <c r="I467" s="139"/>
      <c r="J467" s="24"/>
      <c r="K467" s="35"/>
      <c r="L467" s="9"/>
      <c r="M467" s="9"/>
      <c r="N467" s="9"/>
      <c r="O467" s="9"/>
      <c r="P467" s="9"/>
      <c r="Q467" s="18">
        <f t="shared" si="24"/>
        <v>105</v>
      </c>
      <c r="R467" s="18">
        <f t="shared" si="25"/>
        <v>0</v>
      </c>
      <c r="S467" s="18">
        <f t="shared" si="26"/>
        <v>105</v>
      </c>
    </row>
    <row r="468" spans="1:19" x14ac:dyDescent="0.25">
      <c r="A468" s="45" t="s">
        <v>920</v>
      </c>
      <c r="B468" s="46" t="s">
        <v>921</v>
      </c>
      <c r="C468" s="46">
        <v>292</v>
      </c>
      <c r="D468" s="24" t="s">
        <v>919</v>
      </c>
      <c r="E468" s="24" t="s">
        <v>19</v>
      </c>
      <c r="F468" s="14">
        <v>41821</v>
      </c>
      <c r="G468" s="29">
        <f>181</f>
        <v>181</v>
      </c>
      <c r="H468" s="24"/>
      <c r="I468" s="139"/>
      <c r="J468" s="24"/>
      <c r="K468" s="35"/>
      <c r="L468" s="9"/>
      <c r="M468" s="9"/>
      <c r="N468" s="9"/>
      <c r="O468" s="9"/>
      <c r="P468" s="9"/>
      <c r="Q468" s="18">
        <f t="shared" si="24"/>
        <v>181</v>
      </c>
      <c r="R468" s="18">
        <f t="shared" si="25"/>
        <v>0</v>
      </c>
      <c r="S468" s="18">
        <f t="shared" si="26"/>
        <v>181</v>
      </c>
    </row>
    <row r="469" spans="1:19" x14ac:dyDescent="0.25">
      <c r="A469" s="45" t="s">
        <v>920</v>
      </c>
      <c r="B469" s="46" t="s">
        <v>921</v>
      </c>
      <c r="C469" s="46">
        <v>292</v>
      </c>
      <c r="D469" s="24" t="s">
        <v>3122</v>
      </c>
      <c r="E469" s="24" t="s">
        <v>19</v>
      </c>
      <c r="F469" s="14">
        <v>41821</v>
      </c>
      <c r="G469" s="29">
        <f>239.5</f>
        <v>239.5</v>
      </c>
      <c r="H469" s="24"/>
      <c r="I469" s="139"/>
      <c r="J469" s="24"/>
      <c r="K469" s="35"/>
      <c r="L469" s="9"/>
      <c r="M469" s="9"/>
      <c r="N469" s="9"/>
      <c r="O469" s="9"/>
      <c r="P469" s="9"/>
      <c r="Q469" s="18">
        <f t="shared" si="24"/>
        <v>239.5</v>
      </c>
      <c r="R469" s="18">
        <f t="shared" si="25"/>
        <v>0</v>
      </c>
      <c r="S469" s="18">
        <f t="shared" si="26"/>
        <v>239.5</v>
      </c>
    </row>
    <row r="470" spans="1:19" x14ac:dyDescent="0.25">
      <c r="A470" s="45" t="s">
        <v>922</v>
      </c>
      <c r="B470" s="46" t="s">
        <v>923</v>
      </c>
      <c r="C470" s="46">
        <v>293</v>
      </c>
      <c r="D470" s="24" t="s">
        <v>924</v>
      </c>
      <c r="E470" s="24" t="s">
        <v>19</v>
      </c>
      <c r="F470" s="14">
        <v>41821</v>
      </c>
      <c r="G470" s="29">
        <f>209.8</f>
        <v>209.8</v>
      </c>
      <c r="H470" s="24"/>
      <c r="I470" s="139"/>
      <c r="J470" s="24"/>
      <c r="K470" s="35"/>
      <c r="L470" s="9"/>
      <c r="M470" s="9"/>
      <c r="N470" s="9"/>
      <c r="O470" s="9"/>
      <c r="P470" s="9"/>
      <c r="Q470" s="18">
        <f t="shared" si="24"/>
        <v>209.8</v>
      </c>
      <c r="R470" s="18">
        <f t="shared" si="25"/>
        <v>0</v>
      </c>
      <c r="S470" s="18">
        <f t="shared" si="26"/>
        <v>209.8</v>
      </c>
    </row>
    <row r="471" spans="1:19" x14ac:dyDescent="0.25">
      <c r="A471" s="45" t="s">
        <v>35</v>
      </c>
      <c r="B471" s="46" t="s">
        <v>35</v>
      </c>
      <c r="C471" s="46">
        <v>294</v>
      </c>
      <c r="D471" s="24" t="s">
        <v>925</v>
      </c>
      <c r="E471" s="24" t="s">
        <v>19</v>
      </c>
      <c r="F471" s="14">
        <v>41821</v>
      </c>
      <c r="G471" s="29">
        <v>113</v>
      </c>
      <c r="H471" s="24"/>
      <c r="I471" s="139"/>
      <c r="J471" s="24"/>
      <c r="K471" s="35"/>
      <c r="L471" s="9"/>
      <c r="M471" s="9"/>
      <c r="N471" s="9"/>
      <c r="O471" s="9"/>
      <c r="P471" s="9"/>
      <c r="Q471" s="18">
        <f t="shared" si="24"/>
        <v>113</v>
      </c>
      <c r="R471" s="18">
        <f t="shared" si="25"/>
        <v>0</v>
      </c>
      <c r="S471" s="18">
        <f t="shared" si="26"/>
        <v>113</v>
      </c>
    </row>
    <row r="472" spans="1:19" x14ac:dyDescent="0.25">
      <c r="A472" s="45" t="s">
        <v>927</v>
      </c>
      <c r="B472" s="46" t="s">
        <v>928</v>
      </c>
      <c r="C472" s="46">
        <v>295</v>
      </c>
      <c r="D472" s="24" t="s">
        <v>926</v>
      </c>
      <c r="E472" s="24" t="s">
        <v>19</v>
      </c>
      <c r="F472" s="14">
        <v>41863</v>
      </c>
      <c r="G472" s="26">
        <f>148.95+65.88+484+112.03+218.35+245.03+124.02+82.29+148.95+209.71+580.6+147.15+301.7+196.68+154.33+147.94+154.33+86.39+312.41+235.33</f>
        <v>4156.07</v>
      </c>
      <c r="H472" s="24"/>
      <c r="I472" s="139">
        <v>3000</v>
      </c>
      <c r="J472" s="24"/>
      <c r="K472" s="35"/>
      <c r="L472" s="9"/>
      <c r="M472" s="9"/>
      <c r="N472" s="9"/>
      <c r="O472" s="9"/>
      <c r="P472" s="9"/>
      <c r="Q472" s="18">
        <f t="shared" si="24"/>
        <v>7156.07</v>
      </c>
      <c r="R472" s="18">
        <f t="shared" si="25"/>
        <v>0</v>
      </c>
      <c r="S472" s="18">
        <f t="shared" si="26"/>
        <v>7156.07</v>
      </c>
    </row>
    <row r="473" spans="1:19" x14ac:dyDescent="0.25">
      <c r="A473" s="45" t="s">
        <v>929</v>
      </c>
      <c r="B473" s="46" t="s">
        <v>930</v>
      </c>
      <c r="C473" s="46">
        <v>296</v>
      </c>
      <c r="D473" s="24" t="s">
        <v>931</v>
      </c>
      <c r="E473" s="9" t="s">
        <v>937</v>
      </c>
      <c r="F473" s="14">
        <v>41610</v>
      </c>
      <c r="G473" s="26">
        <f>226.03</f>
        <v>226.03</v>
      </c>
      <c r="H473" s="24"/>
      <c r="I473" s="139"/>
      <c r="J473" s="24"/>
      <c r="K473" s="35"/>
      <c r="L473" s="9"/>
      <c r="M473" s="9"/>
      <c r="N473" s="9"/>
      <c r="O473" s="9"/>
      <c r="P473" s="9"/>
      <c r="Q473" s="18">
        <f t="shared" si="24"/>
        <v>226.03</v>
      </c>
      <c r="R473" s="18">
        <f t="shared" si="25"/>
        <v>0</v>
      </c>
      <c r="S473" s="18">
        <f t="shared" si="26"/>
        <v>226.03</v>
      </c>
    </row>
    <row r="474" spans="1:19" x14ac:dyDescent="0.25">
      <c r="A474" s="45" t="s">
        <v>932</v>
      </c>
      <c r="B474" s="46" t="s">
        <v>933</v>
      </c>
      <c r="C474" s="46">
        <v>297</v>
      </c>
      <c r="D474" s="24" t="s">
        <v>934</v>
      </c>
      <c r="E474" s="9" t="s">
        <v>937</v>
      </c>
      <c r="F474" s="14">
        <v>41785</v>
      </c>
      <c r="G474" s="26">
        <f>338+171.27</f>
        <v>509.27</v>
      </c>
      <c r="H474" s="24"/>
      <c r="I474" s="139"/>
      <c r="J474" s="24"/>
      <c r="K474" s="35"/>
      <c r="L474" s="9"/>
      <c r="M474" s="9"/>
      <c r="N474" s="9"/>
      <c r="O474" s="9"/>
      <c r="P474" s="9"/>
      <c r="Q474" s="18">
        <f t="shared" si="24"/>
        <v>509.27</v>
      </c>
      <c r="R474" s="18">
        <f t="shared" si="25"/>
        <v>0</v>
      </c>
      <c r="S474" s="18">
        <f t="shared" si="26"/>
        <v>509.27</v>
      </c>
    </row>
    <row r="475" spans="1:19" x14ac:dyDescent="0.25">
      <c r="A475" s="45" t="s">
        <v>932</v>
      </c>
      <c r="B475" s="46" t="s">
        <v>933</v>
      </c>
      <c r="C475" s="46">
        <v>297</v>
      </c>
      <c r="D475" s="24" t="s">
        <v>935</v>
      </c>
      <c r="E475" s="9" t="s">
        <v>937</v>
      </c>
      <c r="F475" s="14">
        <v>41785</v>
      </c>
      <c r="G475" s="26">
        <f>90.56</f>
        <v>90.56</v>
      </c>
      <c r="H475" s="24"/>
      <c r="I475" s="139"/>
      <c r="J475" s="24"/>
      <c r="K475" s="35"/>
      <c r="L475" s="9"/>
      <c r="M475" s="9"/>
      <c r="N475" s="9"/>
      <c r="O475" s="9"/>
      <c r="P475" s="9"/>
      <c r="Q475" s="18">
        <f t="shared" si="24"/>
        <v>90.56</v>
      </c>
      <c r="R475" s="18">
        <f t="shared" si="25"/>
        <v>0</v>
      </c>
      <c r="S475" s="18">
        <f t="shared" si="26"/>
        <v>90.56</v>
      </c>
    </row>
    <row r="476" spans="1:19" x14ac:dyDescent="0.25">
      <c r="A476" s="45" t="s">
        <v>932</v>
      </c>
      <c r="B476" s="46" t="s">
        <v>933</v>
      </c>
      <c r="C476" s="46">
        <v>297</v>
      </c>
      <c r="D476" s="24" t="s">
        <v>936</v>
      </c>
      <c r="E476" s="9" t="s">
        <v>937</v>
      </c>
      <c r="F476" s="14">
        <v>41785</v>
      </c>
      <c r="G476" s="26">
        <v>238.96</v>
      </c>
      <c r="H476" s="24"/>
      <c r="I476" s="139"/>
      <c r="J476" s="24"/>
      <c r="K476" s="35"/>
      <c r="L476" s="9"/>
      <c r="M476" s="9"/>
      <c r="N476" s="9"/>
      <c r="O476" s="9"/>
      <c r="P476" s="9"/>
      <c r="Q476" s="18">
        <f t="shared" si="24"/>
        <v>238.96</v>
      </c>
      <c r="R476" s="18">
        <f t="shared" si="25"/>
        <v>0</v>
      </c>
      <c r="S476" s="18">
        <f t="shared" si="26"/>
        <v>238.96</v>
      </c>
    </row>
    <row r="477" spans="1:19" x14ac:dyDescent="0.25">
      <c r="A477" s="45" t="s">
        <v>3171</v>
      </c>
      <c r="B477" s="46" t="s">
        <v>3123</v>
      </c>
      <c r="C477" s="46">
        <v>298</v>
      </c>
      <c r="D477" s="24" t="s">
        <v>3827</v>
      </c>
      <c r="E477" s="24" t="s">
        <v>19</v>
      </c>
      <c r="F477" s="14">
        <v>41864</v>
      </c>
      <c r="G477" s="26">
        <f>1570.84+2360+47.2+1298+82.8+918.2+436.6+64.9</f>
        <v>6778.54</v>
      </c>
      <c r="H477" s="24"/>
      <c r="I477" s="139">
        <f>1500</f>
        <v>1500</v>
      </c>
      <c r="J477" s="24"/>
      <c r="K477" s="35"/>
      <c r="L477" s="9"/>
      <c r="M477" s="9"/>
      <c r="N477" s="9"/>
      <c r="O477" s="9"/>
      <c r="P477" s="9"/>
      <c r="Q477" s="18">
        <f t="shared" si="24"/>
        <v>8278.5400000000009</v>
      </c>
      <c r="R477" s="18">
        <f t="shared" si="25"/>
        <v>0</v>
      </c>
      <c r="S477" s="18">
        <f t="shared" si="26"/>
        <v>8278.5400000000009</v>
      </c>
    </row>
    <row r="478" spans="1:19" x14ac:dyDescent="0.25">
      <c r="A478" s="45" t="s">
        <v>3172</v>
      </c>
      <c r="B478" s="46" t="s">
        <v>3124</v>
      </c>
      <c r="C478" s="46">
        <v>299</v>
      </c>
      <c r="D478" s="24" t="s">
        <v>3147</v>
      </c>
      <c r="E478" s="24" t="s">
        <v>19</v>
      </c>
      <c r="F478" s="14">
        <v>41865</v>
      </c>
      <c r="G478" s="26">
        <f>116.2</f>
        <v>116.2</v>
      </c>
      <c r="H478" s="24"/>
      <c r="I478" s="139"/>
      <c r="J478" s="24"/>
      <c r="K478" s="35"/>
      <c r="L478" s="9"/>
      <c r="M478" s="9"/>
      <c r="N478" s="9"/>
      <c r="O478" s="9"/>
      <c r="P478" s="9"/>
      <c r="Q478" s="18">
        <f t="shared" si="24"/>
        <v>116.2</v>
      </c>
      <c r="R478" s="18">
        <f t="shared" si="25"/>
        <v>0</v>
      </c>
      <c r="S478" s="18">
        <f t="shared" si="26"/>
        <v>116.2</v>
      </c>
    </row>
    <row r="479" spans="1:19" x14ac:dyDescent="0.25">
      <c r="A479" s="45" t="s">
        <v>3173</v>
      </c>
      <c r="B479" s="46" t="s">
        <v>3125</v>
      </c>
      <c r="C479" s="46">
        <v>300</v>
      </c>
      <c r="D479" s="24" t="s">
        <v>3148</v>
      </c>
      <c r="E479" s="24" t="s">
        <v>19</v>
      </c>
      <c r="F479" s="14">
        <v>41867</v>
      </c>
      <c r="G479" s="26"/>
      <c r="H479" s="24"/>
      <c r="I479" s="139"/>
      <c r="J479" s="24"/>
      <c r="K479" s="35"/>
      <c r="L479" s="9"/>
      <c r="M479" s="9"/>
      <c r="N479" s="9"/>
      <c r="O479" s="9"/>
      <c r="P479" s="9"/>
      <c r="Q479" s="18">
        <f t="shared" si="24"/>
        <v>0</v>
      </c>
      <c r="R479" s="18">
        <f t="shared" si="25"/>
        <v>0</v>
      </c>
      <c r="S479" s="18">
        <f t="shared" si="26"/>
        <v>0</v>
      </c>
    </row>
    <row r="480" spans="1:19" x14ac:dyDescent="0.25">
      <c r="A480" s="45" t="s">
        <v>3174</v>
      </c>
      <c r="B480" s="46" t="s">
        <v>3126</v>
      </c>
      <c r="C480" s="46">
        <v>301</v>
      </c>
      <c r="D480" s="24" t="s">
        <v>3828</v>
      </c>
      <c r="E480" s="24" t="s">
        <v>19</v>
      </c>
      <c r="F480" s="14">
        <v>41864</v>
      </c>
      <c r="G480" s="26">
        <f>129.6</f>
        <v>129.6</v>
      </c>
      <c r="H480" s="24"/>
      <c r="I480" s="139"/>
      <c r="J480" s="24"/>
      <c r="K480" s="35"/>
      <c r="L480" s="9"/>
      <c r="M480" s="9"/>
      <c r="N480" s="9"/>
      <c r="O480" s="9"/>
      <c r="P480" s="9"/>
      <c r="Q480" s="18">
        <f t="shared" si="24"/>
        <v>129.6</v>
      </c>
      <c r="R480" s="18">
        <f t="shared" si="25"/>
        <v>0</v>
      </c>
      <c r="S480" s="18">
        <f t="shared" si="26"/>
        <v>129.6</v>
      </c>
    </row>
    <row r="481" spans="1:19" x14ac:dyDescent="0.25">
      <c r="A481" s="45" t="s">
        <v>3174</v>
      </c>
      <c r="B481" s="46" t="s">
        <v>3126</v>
      </c>
      <c r="C481" s="46">
        <v>301</v>
      </c>
      <c r="D481" s="24" t="s">
        <v>3149</v>
      </c>
      <c r="E481" s="24" t="s">
        <v>19</v>
      </c>
      <c r="F481" s="14">
        <v>41864</v>
      </c>
      <c r="G481" s="26">
        <f>215.2</f>
        <v>215.2</v>
      </c>
      <c r="H481" s="24"/>
      <c r="I481" s="139"/>
      <c r="J481" s="24"/>
      <c r="K481" s="35"/>
      <c r="L481" s="9"/>
      <c r="M481" s="9"/>
      <c r="N481" s="9"/>
      <c r="O481" s="9"/>
      <c r="P481" s="9"/>
      <c r="Q481" s="18">
        <f t="shared" si="24"/>
        <v>215.2</v>
      </c>
      <c r="R481" s="18">
        <f t="shared" si="25"/>
        <v>0</v>
      </c>
      <c r="S481" s="18">
        <f t="shared" si="26"/>
        <v>215.2</v>
      </c>
    </row>
    <row r="482" spans="1:19" x14ac:dyDescent="0.25">
      <c r="A482" s="45" t="s">
        <v>3174</v>
      </c>
      <c r="B482" s="46" t="s">
        <v>3126</v>
      </c>
      <c r="C482" s="46">
        <v>301</v>
      </c>
      <c r="D482" s="24" t="s">
        <v>3366</v>
      </c>
      <c r="E482" s="24" t="s">
        <v>19</v>
      </c>
      <c r="F482" s="14">
        <v>41864</v>
      </c>
      <c r="G482" s="26">
        <f>111.92+481.05+121+244.59+128.77+173.93+41.3+88.38+41.3+145.8+136.23+301.7</f>
        <v>2015.97</v>
      </c>
      <c r="H482" s="24"/>
      <c r="I482" s="139">
        <f>1875</f>
        <v>1875</v>
      </c>
      <c r="J482" s="24"/>
      <c r="K482" s="35"/>
      <c r="L482" s="9"/>
      <c r="M482" s="9"/>
      <c r="N482" s="9"/>
      <c r="O482" s="9"/>
      <c r="P482" s="9"/>
      <c r="Q482" s="18">
        <f t="shared" si="24"/>
        <v>3890.9700000000003</v>
      </c>
      <c r="R482" s="18">
        <f t="shared" si="25"/>
        <v>0</v>
      </c>
      <c r="S482" s="18">
        <f t="shared" si="26"/>
        <v>3890.9700000000003</v>
      </c>
    </row>
    <row r="483" spans="1:19" x14ac:dyDescent="0.25">
      <c r="A483" s="45" t="s">
        <v>3175</v>
      </c>
      <c r="B483" s="46" t="s">
        <v>3127</v>
      </c>
      <c r="C483" s="46">
        <v>302</v>
      </c>
      <c r="D483" s="24" t="s">
        <v>3150</v>
      </c>
      <c r="E483" s="24" t="s">
        <v>19</v>
      </c>
      <c r="F483" s="14">
        <v>41864</v>
      </c>
      <c r="G483" s="29">
        <f>47.2+77.56+47.2+77.56+631.3+200+95.26</f>
        <v>1176.08</v>
      </c>
      <c r="H483" s="24"/>
      <c r="I483" s="139"/>
      <c r="J483" s="24"/>
      <c r="K483" s="35"/>
      <c r="L483" s="9"/>
      <c r="M483" s="9"/>
      <c r="N483" s="9"/>
      <c r="O483" s="9"/>
      <c r="P483" s="9"/>
      <c r="Q483" s="18">
        <f t="shared" si="24"/>
        <v>1176.08</v>
      </c>
      <c r="R483" s="18">
        <f t="shared" si="25"/>
        <v>0</v>
      </c>
      <c r="S483" s="18">
        <f t="shared" si="26"/>
        <v>1176.08</v>
      </c>
    </row>
    <row r="484" spans="1:19" x14ac:dyDescent="0.25">
      <c r="A484" s="45" t="s">
        <v>3176</v>
      </c>
      <c r="B484" s="46" t="s">
        <v>3128</v>
      </c>
      <c r="C484" s="46">
        <v>303</v>
      </c>
      <c r="D484" s="24" t="s">
        <v>3829</v>
      </c>
      <c r="E484" s="24" t="s">
        <v>19</v>
      </c>
      <c r="F484" s="14">
        <v>41867</v>
      </c>
      <c r="G484" s="29">
        <f>109</f>
        <v>109</v>
      </c>
      <c r="H484" s="24"/>
      <c r="I484" s="139"/>
      <c r="J484" s="24"/>
      <c r="K484" s="35"/>
      <c r="L484" s="9"/>
      <c r="M484" s="9"/>
      <c r="N484" s="9"/>
      <c r="O484" s="9"/>
      <c r="P484" s="9"/>
      <c r="Q484" s="18">
        <f t="shared" si="24"/>
        <v>109</v>
      </c>
      <c r="R484" s="18">
        <f t="shared" si="25"/>
        <v>0</v>
      </c>
      <c r="S484" s="18">
        <f t="shared" si="26"/>
        <v>109</v>
      </c>
    </row>
    <row r="485" spans="1:19" x14ac:dyDescent="0.25">
      <c r="A485" s="45" t="s">
        <v>3177</v>
      </c>
      <c r="B485" s="46" t="s">
        <v>3129</v>
      </c>
      <c r="C485" s="46">
        <v>304</v>
      </c>
      <c r="D485" s="24" t="s">
        <v>3151</v>
      </c>
      <c r="E485" s="24" t="s">
        <v>19</v>
      </c>
      <c r="F485" s="14">
        <v>41869</v>
      </c>
      <c r="G485" s="29">
        <f>160</f>
        <v>160</v>
      </c>
      <c r="H485" s="24"/>
      <c r="I485" s="139"/>
      <c r="J485" s="24"/>
      <c r="K485" s="35"/>
      <c r="L485" s="9"/>
      <c r="M485" s="9"/>
      <c r="N485" s="9"/>
      <c r="O485" s="9"/>
      <c r="P485" s="9"/>
      <c r="Q485" s="18">
        <f t="shared" si="24"/>
        <v>160</v>
      </c>
      <c r="R485" s="18">
        <f t="shared" si="25"/>
        <v>0</v>
      </c>
      <c r="S485" s="18">
        <f t="shared" si="26"/>
        <v>160</v>
      </c>
    </row>
    <row r="486" spans="1:19" x14ac:dyDescent="0.25">
      <c r="A486" s="45" t="s">
        <v>3178</v>
      </c>
      <c r="B486" s="46" t="s">
        <v>3130</v>
      </c>
      <c r="C486" s="46">
        <v>305</v>
      </c>
      <c r="D486" s="24" t="s">
        <v>3830</v>
      </c>
      <c r="E486" s="24" t="s">
        <v>19</v>
      </c>
      <c r="F486" s="46">
        <v>0</v>
      </c>
      <c r="G486" s="29">
        <f>478.5</f>
        <v>478.5</v>
      </c>
      <c r="H486" s="24"/>
      <c r="I486" s="139"/>
      <c r="J486" s="24"/>
      <c r="K486" s="35"/>
      <c r="L486" s="9"/>
      <c r="M486" s="9"/>
      <c r="N486" s="9"/>
      <c r="O486" s="9"/>
      <c r="P486" s="9"/>
      <c r="Q486" s="18">
        <f t="shared" si="24"/>
        <v>478.5</v>
      </c>
      <c r="R486" s="18">
        <f t="shared" si="25"/>
        <v>0</v>
      </c>
      <c r="S486" s="18">
        <f t="shared" si="26"/>
        <v>478.5</v>
      </c>
    </row>
    <row r="487" spans="1:19" x14ac:dyDescent="0.25">
      <c r="A487" s="45" t="s">
        <v>3179</v>
      </c>
      <c r="B487" s="46" t="s">
        <v>3131</v>
      </c>
      <c r="C487" s="46">
        <v>306</v>
      </c>
      <c r="D487" s="24" t="s">
        <v>3831</v>
      </c>
      <c r="E487" s="24" t="s">
        <v>19</v>
      </c>
      <c r="F487" s="14">
        <v>41859</v>
      </c>
      <c r="G487" s="29">
        <f>84.9</f>
        <v>84.9</v>
      </c>
      <c r="H487" s="24"/>
      <c r="I487" s="139"/>
      <c r="J487" s="24"/>
      <c r="K487" s="35"/>
      <c r="L487" s="9"/>
      <c r="M487" s="9"/>
      <c r="N487" s="9"/>
      <c r="O487" s="9"/>
      <c r="P487" s="9"/>
      <c r="Q487" s="18">
        <f t="shared" si="24"/>
        <v>84.9</v>
      </c>
      <c r="R487" s="18">
        <f t="shared" si="25"/>
        <v>0</v>
      </c>
      <c r="S487" s="18">
        <f t="shared" si="26"/>
        <v>84.9</v>
      </c>
    </row>
    <row r="488" spans="1:19" x14ac:dyDescent="0.25">
      <c r="A488" s="45" t="s">
        <v>3180</v>
      </c>
      <c r="B488" s="46" t="s">
        <v>3132</v>
      </c>
      <c r="C488" s="46">
        <v>307</v>
      </c>
      <c r="D488" s="24" t="s">
        <v>3790</v>
      </c>
      <c r="E488" s="24" t="s">
        <v>19</v>
      </c>
      <c r="F488" s="14">
        <v>41860</v>
      </c>
      <c r="G488" s="29">
        <f>121</f>
        <v>121</v>
      </c>
      <c r="H488" s="24"/>
      <c r="I488" s="139"/>
      <c r="J488" s="24"/>
      <c r="K488" s="35"/>
      <c r="L488" s="9"/>
      <c r="M488" s="9"/>
      <c r="N488" s="9"/>
      <c r="O488" s="9"/>
      <c r="P488" s="9"/>
      <c r="Q488" s="18">
        <f t="shared" si="24"/>
        <v>121</v>
      </c>
      <c r="R488" s="18">
        <f t="shared" si="25"/>
        <v>0</v>
      </c>
      <c r="S488" s="18">
        <f t="shared" si="26"/>
        <v>121</v>
      </c>
    </row>
    <row r="489" spans="1:19" x14ac:dyDescent="0.25">
      <c r="A489" s="45" t="s">
        <v>3181</v>
      </c>
      <c r="B489" s="46" t="s">
        <v>3133</v>
      </c>
      <c r="C489" s="46">
        <v>308</v>
      </c>
      <c r="D489" s="24" t="s">
        <v>3310</v>
      </c>
      <c r="E489" s="24" t="s">
        <v>19</v>
      </c>
      <c r="F489" s="46">
        <v>0</v>
      </c>
      <c r="G489" s="29">
        <f>238+165.4</f>
        <v>403.4</v>
      </c>
      <c r="H489" s="24"/>
      <c r="I489" s="139"/>
      <c r="J489" s="24"/>
      <c r="K489" s="35"/>
      <c r="L489" s="9"/>
      <c r="M489" s="9"/>
      <c r="N489" s="9"/>
      <c r="O489" s="9"/>
      <c r="P489" s="9"/>
      <c r="Q489" s="18">
        <f t="shared" si="24"/>
        <v>403.4</v>
      </c>
      <c r="R489" s="18">
        <f t="shared" si="25"/>
        <v>0</v>
      </c>
      <c r="S489" s="18">
        <f t="shared" si="26"/>
        <v>403.4</v>
      </c>
    </row>
    <row r="490" spans="1:19" x14ac:dyDescent="0.25">
      <c r="A490" s="45" t="s">
        <v>3182</v>
      </c>
      <c r="B490" s="46" t="s">
        <v>3134</v>
      </c>
      <c r="C490" s="46">
        <v>309</v>
      </c>
      <c r="D490" s="24" t="s">
        <v>3268</v>
      </c>
      <c r="E490" s="24" t="s">
        <v>19</v>
      </c>
      <c r="F490" s="14">
        <v>41849</v>
      </c>
      <c r="G490" s="26">
        <f>574.87</f>
        <v>574.87</v>
      </c>
      <c r="H490" s="24"/>
      <c r="I490" s="139"/>
      <c r="J490" s="24"/>
      <c r="K490" s="35"/>
      <c r="L490" s="9"/>
      <c r="M490" s="9"/>
      <c r="N490" s="9"/>
      <c r="O490" s="9"/>
      <c r="P490" s="9"/>
      <c r="Q490" s="18">
        <f t="shared" si="24"/>
        <v>574.87</v>
      </c>
      <c r="R490" s="18">
        <f t="shared" si="25"/>
        <v>0</v>
      </c>
      <c r="S490" s="18">
        <f t="shared" si="26"/>
        <v>574.87</v>
      </c>
    </row>
    <row r="491" spans="1:19" x14ac:dyDescent="0.25">
      <c r="A491" s="45" t="s">
        <v>3183</v>
      </c>
      <c r="B491" s="46" t="s">
        <v>3135</v>
      </c>
      <c r="C491" s="46">
        <v>310</v>
      </c>
      <c r="D491" s="24" t="s">
        <v>3152</v>
      </c>
      <c r="E491" s="24" t="s">
        <v>19</v>
      </c>
      <c r="F491" s="14">
        <v>41868</v>
      </c>
      <c r="G491" s="26">
        <f>1514.82+240+99.21+99.21</f>
        <v>1953.24</v>
      </c>
      <c r="H491" s="24"/>
      <c r="I491" s="139"/>
      <c r="J491" s="24"/>
      <c r="K491" s="35"/>
      <c r="L491" s="9"/>
      <c r="M491" s="9"/>
      <c r="N491" s="9"/>
      <c r="O491" s="9"/>
      <c r="P491" s="9"/>
      <c r="Q491" s="18">
        <f t="shared" si="24"/>
        <v>1953.24</v>
      </c>
      <c r="R491" s="18">
        <f t="shared" si="25"/>
        <v>0</v>
      </c>
      <c r="S491" s="18">
        <f t="shared" si="26"/>
        <v>1953.24</v>
      </c>
    </row>
    <row r="492" spans="1:19" x14ac:dyDescent="0.25">
      <c r="A492" s="45" t="s">
        <v>3184</v>
      </c>
      <c r="B492" s="46" t="s">
        <v>3136</v>
      </c>
      <c r="C492" s="46">
        <v>311</v>
      </c>
      <c r="D492" s="24" t="s">
        <v>3153</v>
      </c>
      <c r="E492" s="24" t="s">
        <v>19</v>
      </c>
      <c r="F492" s="14">
        <v>41865</v>
      </c>
      <c r="G492" s="26">
        <f>84.31</f>
        <v>84.31</v>
      </c>
      <c r="H492" s="24"/>
      <c r="I492" s="139"/>
      <c r="J492" s="24"/>
      <c r="K492" s="35"/>
      <c r="L492" s="9"/>
      <c r="M492" s="9"/>
      <c r="N492" s="9"/>
      <c r="O492" s="9"/>
      <c r="P492" s="9"/>
      <c r="Q492" s="18">
        <f t="shared" si="24"/>
        <v>84.31</v>
      </c>
      <c r="R492" s="18">
        <f t="shared" si="25"/>
        <v>0</v>
      </c>
      <c r="S492" s="18">
        <f t="shared" si="26"/>
        <v>84.31</v>
      </c>
    </row>
    <row r="493" spans="1:19" x14ac:dyDescent="0.25">
      <c r="A493" s="45" t="s">
        <v>3184</v>
      </c>
      <c r="B493" s="46" t="s">
        <v>3136</v>
      </c>
      <c r="C493" s="46">
        <v>311</v>
      </c>
      <c r="D493" s="24" t="s">
        <v>3154</v>
      </c>
      <c r="E493" s="24" t="s">
        <v>19</v>
      </c>
      <c r="F493" s="14">
        <v>41865</v>
      </c>
      <c r="G493" s="26">
        <f>94.93</f>
        <v>94.93</v>
      </c>
      <c r="H493" s="24"/>
      <c r="I493" s="139"/>
      <c r="J493" s="24"/>
      <c r="K493" s="35"/>
      <c r="L493" s="9"/>
      <c r="M493" s="9"/>
      <c r="N493" s="9"/>
      <c r="O493" s="9"/>
      <c r="P493" s="9"/>
      <c r="Q493" s="18">
        <f t="shared" si="24"/>
        <v>94.93</v>
      </c>
      <c r="R493" s="18">
        <f t="shared" si="25"/>
        <v>0</v>
      </c>
      <c r="S493" s="18">
        <f t="shared" si="26"/>
        <v>94.93</v>
      </c>
    </row>
    <row r="494" spans="1:19" x14ac:dyDescent="0.25">
      <c r="A494" s="45" t="s">
        <v>3185</v>
      </c>
      <c r="B494" s="46" t="s">
        <v>3137</v>
      </c>
      <c r="C494" s="46">
        <v>312</v>
      </c>
      <c r="D494" s="24" t="s">
        <v>3155</v>
      </c>
      <c r="E494" s="24" t="s">
        <v>19</v>
      </c>
      <c r="F494" s="14">
        <v>41870</v>
      </c>
      <c r="G494" s="29">
        <f>146.9+41.3</f>
        <v>188.2</v>
      </c>
      <c r="H494" s="24"/>
      <c r="I494" s="139"/>
      <c r="J494" s="24"/>
      <c r="K494" s="35"/>
      <c r="L494" s="9"/>
      <c r="M494" s="9"/>
      <c r="N494" s="9"/>
      <c r="O494" s="9"/>
      <c r="P494" s="9"/>
      <c r="Q494" s="18">
        <f t="shared" si="24"/>
        <v>188.2</v>
      </c>
      <c r="R494" s="18">
        <f t="shared" si="25"/>
        <v>0</v>
      </c>
      <c r="S494" s="18">
        <f t="shared" si="26"/>
        <v>188.2</v>
      </c>
    </row>
    <row r="495" spans="1:19" x14ac:dyDescent="0.25">
      <c r="A495" s="45" t="s">
        <v>3186</v>
      </c>
      <c r="B495" s="46" t="s">
        <v>3138</v>
      </c>
      <c r="C495" s="46">
        <v>313</v>
      </c>
      <c r="D495" s="24" t="s">
        <v>3156</v>
      </c>
      <c r="E495" s="24" t="s">
        <v>19</v>
      </c>
      <c r="F495" s="14">
        <v>41852</v>
      </c>
      <c r="G495" s="26">
        <f>127.88</f>
        <v>127.88</v>
      </c>
      <c r="H495" s="24"/>
      <c r="I495" s="139"/>
      <c r="J495" s="24"/>
      <c r="K495" s="35"/>
      <c r="L495" s="9"/>
      <c r="M495" s="9"/>
      <c r="N495" s="9"/>
      <c r="O495" s="9"/>
      <c r="P495" s="9"/>
      <c r="Q495" s="18">
        <f t="shared" si="24"/>
        <v>127.88</v>
      </c>
      <c r="R495" s="18">
        <f t="shared" si="25"/>
        <v>0</v>
      </c>
      <c r="S495" s="18">
        <f t="shared" si="26"/>
        <v>127.88</v>
      </c>
    </row>
    <row r="496" spans="1:19" x14ac:dyDescent="0.25">
      <c r="A496" s="45" t="s">
        <v>3187</v>
      </c>
      <c r="B496" s="46" t="s">
        <v>3139</v>
      </c>
      <c r="C496" s="46">
        <v>314</v>
      </c>
      <c r="D496" s="24" t="s">
        <v>3157</v>
      </c>
      <c r="E496" s="24" t="s">
        <v>19</v>
      </c>
      <c r="F496" s="14">
        <v>41836</v>
      </c>
      <c r="G496" s="26">
        <f>100.68</f>
        <v>100.68</v>
      </c>
      <c r="H496" s="24"/>
      <c r="I496" s="139"/>
      <c r="J496" s="24"/>
      <c r="K496" s="35"/>
      <c r="L496" s="9"/>
      <c r="M496" s="9"/>
      <c r="N496" s="9"/>
      <c r="O496" s="9"/>
      <c r="P496" s="9"/>
      <c r="Q496" s="18">
        <f t="shared" si="24"/>
        <v>100.68</v>
      </c>
      <c r="R496" s="18">
        <f t="shared" si="25"/>
        <v>0</v>
      </c>
      <c r="S496" s="18">
        <f t="shared" si="26"/>
        <v>100.68</v>
      </c>
    </row>
    <row r="497" spans="1:19" x14ac:dyDescent="0.25">
      <c r="A497" s="45" t="s">
        <v>3187</v>
      </c>
      <c r="B497" s="46" t="s">
        <v>3139</v>
      </c>
      <c r="C497" s="46">
        <v>314</v>
      </c>
      <c r="D497" s="24" t="s">
        <v>3158</v>
      </c>
      <c r="E497" s="24" t="s">
        <v>19</v>
      </c>
      <c r="F497" s="14">
        <v>41836</v>
      </c>
      <c r="G497" s="26">
        <f>108.25</f>
        <v>108.25</v>
      </c>
      <c r="H497" s="24"/>
      <c r="I497" s="139"/>
      <c r="J497" s="24"/>
      <c r="K497" s="35"/>
      <c r="L497" s="9"/>
      <c r="M497" s="9"/>
      <c r="N497" s="9"/>
      <c r="O497" s="9"/>
      <c r="P497" s="9"/>
      <c r="Q497" s="18">
        <f t="shared" si="24"/>
        <v>108.25</v>
      </c>
      <c r="R497" s="18">
        <f t="shared" si="25"/>
        <v>0</v>
      </c>
      <c r="S497" s="18">
        <f t="shared" si="26"/>
        <v>108.25</v>
      </c>
    </row>
    <row r="498" spans="1:19" x14ac:dyDescent="0.25">
      <c r="A498" s="45" t="s">
        <v>3188</v>
      </c>
      <c r="B498" s="46" t="s">
        <v>3140</v>
      </c>
      <c r="C498" s="46">
        <v>315</v>
      </c>
      <c r="D498" s="24" t="s">
        <v>3159</v>
      </c>
      <c r="E498" s="24" t="s">
        <v>19</v>
      </c>
      <c r="F498" s="14">
        <v>41828</v>
      </c>
      <c r="G498" s="26">
        <f>162.32</f>
        <v>162.32</v>
      </c>
      <c r="H498" s="9"/>
      <c r="I498" s="139"/>
      <c r="J498" s="9"/>
      <c r="K498" s="8"/>
      <c r="L498" s="9"/>
      <c r="M498" s="9"/>
      <c r="N498" s="9"/>
      <c r="O498" s="9"/>
      <c r="P498" s="9"/>
      <c r="Q498" s="18">
        <f t="shared" si="24"/>
        <v>162.32</v>
      </c>
      <c r="R498" s="18">
        <f t="shared" si="25"/>
        <v>0</v>
      </c>
      <c r="S498" s="18">
        <f t="shared" si="26"/>
        <v>162.32</v>
      </c>
    </row>
    <row r="499" spans="1:19" x14ac:dyDescent="0.25">
      <c r="A499" s="45" t="s">
        <v>3188</v>
      </c>
      <c r="B499" s="46" t="s">
        <v>3140</v>
      </c>
      <c r="C499" s="46">
        <v>315</v>
      </c>
      <c r="D499" s="24" t="s">
        <v>3160</v>
      </c>
      <c r="E499" s="24" t="s">
        <v>19</v>
      </c>
      <c r="F499" s="14">
        <v>41828</v>
      </c>
      <c r="G499" s="26">
        <f>67.85</f>
        <v>67.849999999999994</v>
      </c>
      <c r="H499" s="9"/>
      <c r="I499" s="139"/>
      <c r="J499" s="9"/>
      <c r="K499" s="8"/>
      <c r="L499" s="9"/>
      <c r="M499" s="9"/>
      <c r="N499" s="9"/>
      <c r="O499" s="9"/>
      <c r="P499" s="9"/>
      <c r="Q499" s="18">
        <f t="shared" si="24"/>
        <v>67.849999999999994</v>
      </c>
      <c r="R499" s="18">
        <f t="shared" si="25"/>
        <v>0</v>
      </c>
      <c r="S499" s="18">
        <f t="shared" si="26"/>
        <v>67.849999999999994</v>
      </c>
    </row>
    <row r="500" spans="1:19" x14ac:dyDescent="0.25">
      <c r="A500" s="45" t="s">
        <v>3189</v>
      </c>
      <c r="B500" s="46" t="s">
        <v>3141</v>
      </c>
      <c r="C500" s="46">
        <v>316</v>
      </c>
      <c r="D500" s="24" t="s">
        <v>3161</v>
      </c>
      <c r="E500" s="24" t="s">
        <v>19</v>
      </c>
      <c r="F500" s="14">
        <v>41812</v>
      </c>
      <c r="G500" s="26">
        <f>186.65</f>
        <v>186.65</v>
      </c>
      <c r="H500" s="9"/>
      <c r="I500" s="139"/>
      <c r="J500" s="9"/>
      <c r="K500" s="8"/>
      <c r="L500" s="9"/>
      <c r="M500" s="9"/>
      <c r="N500" s="9"/>
      <c r="O500" s="9"/>
      <c r="P500" s="9"/>
      <c r="Q500" s="18">
        <f t="shared" si="24"/>
        <v>186.65</v>
      </c>
      <c r="R500" s="18">
        <f t="shared" si="25"/>
        <v>0</v>
      </c>
      <c r="S500" s="18">
        <f t="shared" si="26"/>
        <v>186.65</v>
      </c>
    </row>
    <row r="501" spans="1:19" x14ac:dyDescent="0.25">
      <c r="A501" s="45" t="s">
        <v>3190</v>
      </c>
      <c r="B501" s="46" t="s">
        <v>3142</v>
      </c>
      <c r="C501" s="46">
        <v>317</v>
      </c>
      <c r="D501" s="24" t="s">
        <v>3162</v>
      </c>
      <c r="E501" s="24" t="s">
        <v>19</v>
      </c>
      <c r="F501" s="14">
        <v>41839</v>
      </c>
      <c r="G501" s="26">
        <f>169.09</f>
        <v>169.09</v>
      </c>
      <c r="H501" s="9"/>
      <c r="I501" s="139"/>
      <c r="J501" s="9"/>
      <c r="K501" s="8"/>
      <c r="L501" s="9"/>
      <c r="M501" s="9"/>
      <c r="N501" s="9"/>
      <c r="O501" s="9"/>
      <c r="P501" s="9"/>
      <c r="Q501" s="18">
        <f t="shared" si="24"/>
        <v>169.09</v>
      </c>
      <c r="R501" s="18">
        <f t="shared" si="25"/>
        <v>0</v>
      </c>
      <c r="S501" s="18">
        <f t="shared" si="26"/>
        <v>169.09</v>
      </c>
    </row>
    <row r="502" spans="1:19" x14ac:dyDescent="0.25">
      <c r="A502" s="45" t="s">
        <v>3191</v>
      </c>
      <c r="B502" s="46" t="s">
        <v>3143</v>
      </c>
      <c r="C502" s="46">
        <v>318</v>
      </c>
      <c r="D502" s="24" t="s">
        <v>3163</v>
      </c>
      <c r="E502" s="24" t="s">
        <v>19</v>
      </c>
      <c r="F502" s="14">
        <v>41846</v>
      </c>
      <c r="G502" s="26">
        <f>3525.91+718.3</f>
        <v>4244.21</v>
      </c>
      <c r="H502" s="9"/>
      <c r="I502" s="139"/>
      <c r="J502" s="9"/>
      <c r="K502" s="8"/>
      <c r="L502" s="9"/>
      <c r="M502" s="9"/>
      <c r="N502" s="9"/>
      <c r="O502" s="9"/>
      <c r="P502" s="9"/>
      <c r="Q502" s="18">
        <f t="shared" si="24"/>
        <v>4244.21</v>
      </c>
      <c r="R502" s="18">
        <f t="shared" si="25"/>
        <v>0</v>
      </c>
      <c r="S502" s="18">
        <f t="shared" si="26"/>
        <v>4244.21</v>
      </c>
    </row>
    <row r="503" spans="1:19" x14ac:dyDescent="0.25">
      <c r="A503" s="45" t="s">
        <v>3192</v>
      </c>
      <c r="B503" s="46" t="s">
        <v>3144</v>
      </c>
      <c r="C503" s="46">
        <v>319</v>
      </c>
      <c r="D503" s="24" t="s">
        <v>3164</v>
      </c>
      <c r="E503" s="24" t="s">
        <v>19</v>
      </c>
      <c r="F503" s="14">
        <v>41872</v>
      </c>
      <c r="G503" s="26"/>
      <c r="H503" s="9"/>
      <c r="I503" s="139"/>
      <c r="J503" s="9"/>
      <c r="K503" s="8"/>
      <c r="L503" s="9"/>
      <c r="M503" s="9"/>
      <c r="N503" s="9"/>
      <c r="O503" s="9"/>
      <c r="P503" s="9"/>
      <c r="Q503" s="18">
        <f t="shared" si="24"/>
        <v>0</v>
      </c>
      <c r="R503" s="18">
        <f t="shared" si="25"/>
        <v>0</v>
      </c>
      <c r="S503" s="18">
        <f t="shared" si="26"/>
        <v>0</v>
      </c>
    </row>
    <row r="504" spans="1:19" x14ac:dyDescent="0.25">
      <c r="A504" s="45" t="s">
        <v>3192</v>
      </c>
      <c r="B504" s="46" t="s">
        <v>3144</v>
      </c>
      <c r="C504" s="46">
        <v>319</v>
      </c>
      <c r="D504" s="24" t="s">
        <v>3165</v>
      </c>
      <c r="E504" s="24" t="s">
        <v>19</v>
      </c>
      <c r="F504" s="14">
        <v>41872</v>
      </c>
      <c r="G504" s="29">
        <f>135</f>
        <v>135</v>
      </c>
      <c r="H504" s="9"/>
      <c r="I504" s="139"/>
      <c r="J504" s="9"/>
      <c r="K504" s="8"/>
      <c r="L504" s="9"/>
      <c r="M504" s="9"/>
      <c r="N504" s="9"/>
      <c r="O504" s="9"/>
      <c r="P504" s="9"/>
      <c r="Q504" s="18">
        <f t="shared" si="24"/>
        <v>135</v>
      </c>
      <c r="R504" s="18">
        <f t="shared" si="25"/>
        <v>0</v>
      </c>
      <c r="S504" s="18">
        <f t="shared" si="26"/>
        <v>135</v>
      </c>
    </row>
    <row r="505" spans="1:19" x14ac:dyDescent="0.25">
      <c r="A505" s="45" t="s">
        <v>3192</v>
      </c>
      <c r="B505" s="46" t="s">
        <v>3144</v>
      </c>
      <c r="C505" s="46">
        <v>319</v>
      </c>
      <c r="D505" s="24" t="s">
        <v>3166</v>
      </c>
      <c r="E505" s="24" t="s">
        <v>19</v>
      </c>
      <c r="F505" s="14">
        <v>41872</v>
      </c>
      <c r="G505" s="29">
        <f>48</f>
        <v>48</v>
      </c>
      <c r="H505" s="9"/>
      <c r="I505" s="139"/>
      <c r="J505" s="9"/>
      <c r="K505" s="8"/>
      <c r="L505" s="9"/>
      <c r="M505" s="9"/>
      <c r="N505" s="9"/>
      <c r="O505" s="24"/>
      <c r="P505" s="9"/>
      <c r="Q505" s="18">
        <f t="shared" si="24"/>
        <v>48</v>
      </c>
      <c r="R505" s="18">
        <f t="shared" si="25"/>
        <v>0</v>
      </c>
      <c r="S505" s="18">
        <f t="shared" si="26"/>
        <v>48</v>
      </c>
    </row>
    <row r="506" spans="1:19" x14ac:dyDescent="0.25">
      <c r="A506" s="45" t="s">
        <v>3192</v>
      </c>
      <c r="B506" s="46" t="s">
        <v>3144</v>
      </c>
      <c r="C506" s="46">
        <v>319</v>
      </c>
      <c r="D506" s="24" t="s">
        <v>3167</v>
      </c>
      <c r="E506" s="24" t="s">
        <v>19</v>
      </c>
      <c r="F506" s="14">
        <v>41872</v>
      </c>
      <c r="G506" s="29">
        <f>115.2</f>
        <v>115.2</v>
      </c>
      <c r="H506" s="9"/>
      <c r="I506" s="139"/>
      <c r="J506" s="9"/>
      <c r="K506" s="8"/>
      <c r="L506" s="9"/>
      <c r="M506" s="9"/>
      <c r="N506" s="9"/>
      <c r="O506" s="24"/>
      <c r="P506" s="9"/>
      <c r="Q506" s="18">
        <f t="shared" si="24"/>
        <v>115.2</v>
      </c>
      <c r="R506" s="18">
        <f t="shared" si="25"/>
        <v>0</v>
      </c>
      <c r="S506" s="18">
        <f t="shared" si="26"/>
        <v>115.2</v>
      </c>
    </row>
    <row r="507" spans="1:19" x14ac:dyDescent="0.25">
      <c r="A507" s="45" t="s">
        <v>3193</v>
      </c>
      <c r="B507" s="46" t="s">
        <v>3145</v>
      </c>
      <c r="C507" s="46">
        <v>320</v>
      </c>
      <c r="D507" s="24" t="s">
        <v>3168</v>
      </c>
      <c r="E507" s="24" t="s">
        <v>19</v>
      </c>
      <c r="F507" s="14">
        <v>41873</v>
      </c>
      <c r="G507" s="29">
        <f>213</f>
        <v>213</v>
      </c>
      <c r="H507" s="9"/>
      <c r="I507" s="139"/>
      <c r="J507" s="9"/>
      <c r="K507" s="8"/>
      <c r="L507" s="9"/>
      <c r="M507" s="9"/>
      <c r="N507" s="9"/>
      <c r="O507" s="51"/>
      <c r="P507" s="9"/>
      <c r="Q507" s="18">
        <f t="shared" si="24"/>
        <v>213</v>
      </c>
      <c r="R507" s="18">
        <f t="shared" si="25"/>
        <v>0</v>
      </c>
      <c r="S507" s="18">
        <f t="shared" si="26"/>
        <v>213</v>
      </c>
    </row>
    <row r="508" spans="1:19" x14ac:dyDescent="0.25">
      <c r="A508" s="45" t="s">
        <v>3194</v>
      </c>
      <c r="B508" s="46" t="s">
        <v>3146</v>
      </c>
      <c r="C508" s="46">
        <v>321</v>
      </c>
      <c r="D508" s="24" t="s">
        <v>3169</v>
      </c>
      <c r="E508" s="24" t="s">
        <v>19</v>
      </c>
      <c r="F508" s="14">
        <v>41863</v>
      </c>
      <c r="G508" s="26">
        <f>135.89+60.13+237.5+115.6</f>
        <v>549.12</v>
      </c>
      <c r="H508" s="9"/>
      <c r="I508" s="139"/>
      <c r="J508" s="9"/>
      <c r="K508" s="8"/>
      <c r="L508" s="9"/>
      <c r="M508" s="9"/>
      <c r="N508" s="9"/>
      <c r="O508" s="51"/>
      <c r="P508" s="9"/>
      <c r="Q508" s="18">
        <f t="shared" si="24"/>
        <v>549.12</v>
      </c>
      <c r="R508" s="18">
        <f t="shared" si="25"/>
        <v>0</v>
      </c>
      <c r="S508" s="18">
        <f t="shared" si="26"/>
        <v>549.12</v>
      </c>
    </row>
    <row r="509" spans="1:19" x14ac:dyDescent="0.25">
      <c r="A509" s="45" t="s">
        <v>3195</v>
      </c>
      <c r="B509" s="46" t="s">
        <v>469</v>
      </c>
      <c r="C509" s="46">
        <v>322</v>
      </c>
      <c r="D509" s="24" t="s">
        <v>3170</v>
      </c>
      <c r="E509" s="24" t="s">
        <v>19</v>
      </c>
      <c r="F509" s="14">
        <v>41838</v>
      </c>
      <c r="G509" s="26">
        <f>114.46</f>
        <v>114.46</v>
      </c>
      <c r="H509" s="9"/>
      <c r="I509" s="139"/>
      <c r="J509" s="9"/>
      <c r="K509" s="8"/>
      <c r="L509" s="9"/>
      <c r="M509" s="9"/>
      <c r="N509" s="9"/>
      <c r="O509" s="51"/>
      <c r="P509" s="9"/>
      <c r="Q509" s="18">
        <f t="shared" si="24"/>
        <v>114.46</v>
      </c>
      <c r="R509" s="18">
        <f t="shared" si="25"/>
        <v>0</v>
      </c>
      <c r="S509" s="18">
        <f t="shared" si="26"/>
        <v>114.46</v>
      </c>
    </row>
    <row r="510" spans="1:19" x14ac:dyDescent="0.25">
      <c r="A510" s="45" t="s">
        <v>3198</v>
      </c>
      <c r="B510" s="46" t="s">
        <v>3216</v>
      </c>
      <c r="C510" s="46">
        <v>323</v>
      </c>
      <c r="D510" s="24" t="s">
        <v>3233</v>
      </c>
      <c r="E510" s="24" t="s">
        <v>19</v>
      </c>
      <c r="F510" s="14">
        <v>41873</v>
      </c>
      <c r="G510" s="26">
        <f>78+41.3+110.68+135.97+174.54+167.6+65.2</f>
        <v>773.29000000000008</v>
      </c>
      <c r="H510" s="9"/>
      <c r="I510" s="139"/>
      <c r="J510" s="9"/>
      <c r="K510" s="8"/>
      <c r="L510" s="9"/>
      <c r="M510" s="9"/>
      <c r="N510" s="9"/>
      <c r="O510" s="51"/>
      <c r="P510" s="9"/>
      <c r="Q510" s="18">
        <f t="shared" si="24"/>
        <v>773.29000000000008</v>
      </c>
      <c r="R510" s="18">
        <f t="shared" si="25"/>
        <v>0</v>
      </c>
      <c r="S510" s="18">
        <f t="shared" si="26"/>
        <v>773.29000000000008</v>
      </c>
    </row>
    <row r="511" spans="1:19" x14ac:dyDescent="0.25">
      <c r="A511" s="45" t="s">
        <v>3199</v>
      </c>
      <c r="B511" s="46" t="s">
        <v>3217</v>
      </c>
      <c r="C511" s="46">
        <v>324</v>
      </c>
      <c r="D511" s="24" t="s">
        <v>3234</v>
      </c>
      <c r="E511" s="24" t="s">
        <v>19</v>
      </c>
      <c r="F511" s="14">
        <v>41644</v>
      </c>
      <c r="G511" s="26"/>
      <c r="H511" s="9"/>
      <c r="I511" s="139"/>
      <c r="J511" s="9"/>
      <c r="K511" s="8"/>
      <c r="L511" s="9"/>
      <c r="M511" s="9"/>
      <c r="N511" s="9"/>
      <c r="O511" s="52">
        <f>15200</f>
        <v>15200</v>
      </c>
      <c r="P511" s="9"/>
      <c r="Q511" s="18">
        <f t="shared" si="24"/>
        <v>15200</v>
      </c>
      <c r="R511" s="18">
        <f t="shared" si="25"/>
        <v>0</v>
      </c>
      <c r="S511" s="18">
        <f t="shared" si="26"/>
        <v>15200</v>
      </c>
    </row>
    <row r="512" spans="1:19" x14ac:dyDescent="0.25">
      <c r="A512" s="45" t="s">
        <v>3199</v>
      </c>
      <c r="B512" s="46" t="s">
        <v>3217</v>
      </c>
      <c r="C512" s="46">
        <v>324</v>
      </c>
      <c r="D512" s="24" t="s">
        <v>3235</v>
      </c>
      <c r="E512" s="24" t="s">
        <v>19</v>
      </c>
      <c r="F512" s="14">
        <v>41644</v>
      </c>
      <c r="G512" s="26">
        <f>170+140.66+77.56+35.21+63.06+335+47.2</f>
        <v>868.69</v>
      </c>
      <c r="H512" s="9"/>
      <c r="I512" s="139">
        <f>3800</f>
        <v>3800</v>
      </c>
      <c r="J512" s="9"/>
      <c r="K512" s="8"/>
      <c r="L512" s="9"/>
      <c r="M512" s="9"/>
      <c r="N512" s="9"/>
      <c r="O512" s="51"/>
      <c r="P512" s="9"/>
      <c r="Q512" s="18">
        <f t="shared" si="24"/>
        <v>4668.6900000000005</v>
      </c>
      <c r="R512" s="18">
        <f t="shared" si="25"/>
        <v>0</v>
      </c>
      <c r="S512" s="18">
        <f t="shared" si="26"/>
        <v>4668.6900000000005</v>
      </c>
    </row>
    <row r="513" spans="1:19" x14ac:dyDescent="0.25">
      <c r="A513" s="45" t="s">
        <v>3200</v>
      </c>
      <c r="B513" s="46" t="s">
        <v>3218</v>
      </c>
      <c r="C513" s="46">
        <v>325</v>
      </c>
      <c r="D513" s="24" t="s">
        <v>3236</v>
      </c>
      <c r="E513" s="24" t="s">
        <v>19</v>
      </c>
      <c r="F513" s="14">
        <v>41873</v>
      </c>
      <c r="G513" s="26">
        <f>240+41.3+147.2+761.47+41.3</f>
        <v>1231.27</v>
      </c>
      <c r="H513" s="9"/>
      <c r="I513" s="139"/>
      <c r="J513" s="9"/>
      <c r="K513" s="8"/>
      <c r="L513" s="9"/>
      <c r="M513" s="9"/>
      <c r="N513" s="9"/>
      <c r="O513" s="51"/>
      <c r="P513" s="9"/>
      <c r="Q513" s="18">
        <f t="shared" si="24"/>
        <v>1231.27</v>
      </c>
      <c r="R513" s="18">
        <f t="shared" si="25"/>
        <v>0</v>
      </c>
      <c r="S513" s="18">
        <f t="shared" si="26"/>
        <v>1231.27</v>
      </c>
    </row>
    <row r="514" spans="1:19" x14ac:dyDescent="0.25">
      <c r="A514" s="45" t="s">
        <v>3200</v>
      </c>
      <c r="B514" s="46" t="s">
        <v>3218</v>
      </c>
      <c r="C514" s="46">
        <v>325</v>
      </c>
      <c r="D514" s="24" t="s">
        <v>3237</v>
      </c>
      <c r="E514" s="24" t="s">
        <v>19</v>
      </c>
      <c r="F514" s="14">
        <v>41873</v>
      </c>
      <c r="G514" s="26">
        <f>20.03+47.2+145.9</f>
        <v>213.13</v>
      </c>
      <c r="H514" s="9"/>
      <c r="I514" s="139"/>
      <c r="J514" s="9"/>
      <c r="K514" s="8"/>
      <c r="L514" s="9"/>
      <c r="M514" s="9"/>
      <c r="N514" s="9"/>
      <c r="O514" s="51"/>
      <c r="P514" s="9"/>
      <c r="Q514" s="18">
        <f t="shared" si="24"/>
        <v>213.13</v>
      </c>
      <c r="R514" s="18">
        <f t="shared" si="25"/>
        <v>0</v>
      </c>
      <c r="S514" s="18">
        <f t="shared" si="26"/>
        <v>213.13</v>
      </c>
    </row>
    <row r="515" spans="1:19" x14ac:dyDescent="0.25">
      <c r="A515" s="45" t="s">
        <v>3200</v>
      </c>
      <c r="B515" s="46" t="s">
        <v>3218</v>
      </c>
      <c r="C515" s="46">
        <v>325</v>
      </c>
      <c r="D515" s="24" t="s">
        <v>3311</v>
      </c>
      <c r="E515" s="24" t="s">
        <v>19</v>
      </c>
      <c r="F515" s="14">
        <v>41873</v>
      </c>
      <c r="G515" s="26">
        <f>60+47.2+47.2+359+241.9+64.9+436.6+15</f>
        <v>1271.8</v>
      </c>
      <c r="H515" s="9"/>
      <c r="I515" s="139">
        <f>1500</f>
        <v>1500</v>
      </c>
      <c r="J515" s="9"/>
      <c r="K515" s="8"/>
      <c r="L515" s="9"/>
      <c r="M515" s="9"/>
      <c r="N515" s="9"/>
      <c r="O515" s="51"/>
      <c r="P515" s="9"/>
      <c r="Q515" s="18">
        <f t="shared" si="24"/>
        <v>2771.8</v>
      </c>
      <c r="R515" s="18">
        <f t="shared" si="25"/>
        <v>0</v>
      </c>
      <c r="S515" s="18">
        <f t="shared" si="26"/>
        <v>2771.8</v>
      </c>
    </row>
    <row r="516" spans="1:19" x14ac:dyDescent="0.25">
      <c r="A516" s="45" t="s">
        <v>3201</v>
      </c>
      <c r="B516" s="46" t="s">
        <v>3219</v>
      </c>
      <c r="C516" s="46">
        <v>326</v>
      </c>
      <c r="D516" s="24" t="s">
        <v>3238</v>
      </c>
      <c r="E516" s="24" t="s">
        <v>19</v>
      </c>
      <c r="F516" s="14">
        <v>41875</v>
      </c>
      <c r="G516" s="26">
        <f>166.72</f>
        <v>166.72</v>
      </c>
      <c r="H516" s="9"/>
      <c r="I516" s="139"/>
      <c r="J516" s="9"/>
      <c r="K516" s="8"/>
      <c r="L516" s="9"/>
      <c r="M516" s="9"/>
      <c r="N516" s="9"/>
      <c r="O516" s="51"/>
      <c r="P516" s="9"/>
      <c r="Q516" s="18">
        <f t="shared" si="24"/>
        <v>166.72</v>
      </c>
      <c r="R516" s="18">
        <f t="shared" si="25"/>
        <v>0</v>
      </c>
      <c r="S516" s="18">
        <f t="shared" si="26"/>
        <v>166.72</v>
      </c>
    </row>
    <row r="517" spans="1:19" x14ac:dyDescent="0.25">
      <c r="A517" s="45" t="s">
        <v>3202</v>
      </c>
      <c r="B517" s="46" t="s">
        <v>3220</v>
      </c>
      <c r="C517" s="46">
        <v>327</v>
      </c>
      <c r="D517" s="24" t="s">
        <v>3239</v>
      </c>
      <c r="E517" s="24" t="s">
        <v>19</v>
      </c>
      <c r="F517" s="14">
        <v>41840</v>
      </c>
      <c r="G517" s="26">
        <f>224.55</f>
        <v>224.55</v>
      </c>
      <c r="H517" s="9"/>
      <c r="I517" s="139"/>
      <c r="J517" s="9"/>
      <c r="K517" s="8"/>
      <c r="L517" s="9"/>
      <c r="M517" s="9"/>
      <c r="N517" s="9"/>
      <c r="O517" s="9"/>
      <c r="P517" s="9"/>
      <c r="Q517" s="18">
        <f t="shared" si="24"/>
        <v>224.55</v>
      </c>
      <c r="R517" s="18">
        <f t="shared" si="25"/>
        <v>0</v>
      </c>
      <c r="S517" s="18">
        <f t="shared" si="26"/>
        <v>224.55</v>
      </c>
    </row>
    <row r="518" spans="1:19" x14ac:dyDescent="0.25">
      <c r="A518" s="45" t="s">
        <v>3203</v>
      </c>
      <c r="B518" s="46" t="s">
        <v>3221</v>
      </c>
      <c r="C518" s="46">
        <v>328</v>
      </c>
      <c r="D518" s="24" t="s">
        <v>3240</v>
      </c>
      <c r="E518" s="24" t="s">
        <v>19</v>
      </c>
      <c r="F518" s="14">
        <v>41843</v>
      </c>
      <c r="G518" s="26">
        <f>261.49</f>
        <v>261.49</v>
      </c>
      <c r="H518" s="9"/>
      <c r="I518" s="139"/>
      <c r="J518" s="9"/>
      <c r="K518" s="8"/>
      <c r="L518" s="9"/>
      <c r="M518" s="9"/>
      <c r="N518" s="9"/>
      <c r="O518" s="9"/>
      <c r="P518" s="9"/>
      <c r="Q518" s="18">
        <f t="shared" si="24"/>
        <v>261.49</v>
      </c>
      <c r="R518" s="18">
        <f t="shared" si="25"/>
        <v>0</v>
      </c>
      <c r="S518" s="18">
        <f t="shared" si="26"/>
        <v>261.49</v>
      </c>
    </row>
    <row r="519" spans="1:19" x14ac:dyDescent="0.25">
      <c r="A519" s="45" t="s">
        <v>3204</v>
      </c>
      <c r="B519" s="46" t="s">
        <v>3222</v>
      </c>
      <c r="C519" s="46">
        <v>329</v>
      </c>
      <c r="D519" s="24" t="s">
        <v>3241</v>
      </c>
      <c r="E519" s="24" t="s">
        <v>19</v>
      </c>
      <c r="F519" s="14">
        <v>41856</v>
      </c>
      <c r="G519" s="26">
        <f>163.43</f>
        <v>163.43</v>
      </c>
      <c r="H519" s="9"/>
      <c r="I519" s="139"/>
      <c r="J519" s="9"/>
      <c r="K519" s="8"/>
      <c r="L519" s="9"/>
      <c r="M519" s="9"/>
      <c r="N519" s="9"/>
      <c r="O519" s="9"/>
      <c r="P519" s="9"/>
      <c r="Q519" s="18">
        <f t="shared" si="24"/>
        <v>163.43</v>
      </c>
      <c r="R519" s="18">
        <f t="shared" si="25"/>
        <v>0</v>
      </c>
      <c r="S519" s="18">
        <f t="shared" si="26"/>
        <v>163.43</v>
      </c>
    </row>
    <row r="520" spans="1:19" x14ac:dyDescent="0.25">
      <c r="A520" s="45" t="s">
        <v>3205</v>
      </c>
      <c r="B520" s="46" t="s">
        <v>3223</v>
      </c>
      <c r="C520" s="46">
        <v>330</v>
      </c>
      <c r="D520" s="24" t="s">
        <v>3242</v>
      </c>
      <c r="E520" s="24" t="s">
        <v>19</v>
      </c>
      <c r="F520" s="14">
        <v>41829</v>
      </c>
      <c r="G520" s="26">
        <f>118.47</f>
        <v>118.47</v>
      </c>
      <c r="H520" s="9"/>
      <c r="I520" s="139"/>
      <c r="J520" s="9"/>
      <c r="K520" s="8"/>
      <c r="L520" s="9"/>
      <c r="M520" s="9"/>
      <c r="N520" s="9"/>
      <c r="O520" s="9"/>
      <c r="P520" s="9"/>
      <c r="Q520" s="18">
        <f t="shared" si="24"/>
        <v>118.47</v>
      </c>
      <c r="R520" s="18">
        <f t="shared" si="25"/>
        <v>0</v>
      </c>
      <c r="S520" s="18">
        <f t="shared" si="26"/>
        <v>118.47</v>
      </c>
    </row>
    <row r="521" spans="1:19" x14ac:dyDescent="0.25">
      <c r="A521" s="45" t="s">
        <v>3206</v>
      </c>
      <c r="B521" s="46" t="s">
        <v>3224</v>
      </c>
      <c r="C521" s="46">
        <v>331</v>
      </c>
      <c r="D521" s="24" t="s">
        <v>3243</v>
      </c>
      <c r="E521" s="24" t="s">
        <v>19</v>
      </c>
      <c r="F521" s="14">
        <v>41873</v>
      </c>
      <c r="G521" s="26">
        <f>262.85</f>
        <v>262.85000000000002</v>
      </c>
      <c r="H521" s="9"/>
      <c r="I521" s="139"/>
      <c r="J521" s="9"/>
      <c r="K521" s="8"/>
      <c r="L521" s="9"/>
      <c r="M521" s="9"/>
      <c r="N521" s="9"/>
      <c r="O521" s="9"/>
      <c r="P521" s="9"/>
      <c r="Q521" s="18">
        <f t="shared" si="24"/>
        <v>262.85000000000002</v>
      </c>
      <c r="R521" s="18">
        <f t="shared" si="25"/>
        <v>0</v>
      </c>
      <c r="S521" s="18">
        <f t="shared" si="26"/>
        <v>262.85000000000002</v>
      </c>
    </row>
    <row r="522" spans="1:19" x14ac:dyDescent="0.25">
      <c r="A522" s="45" t="s">
        <v>3206</v>
      </c>
      <c r="B522" s="46" t="s">
        <v>3224</v>
      </c>
      <c r="C522" s="46">
        <v>331</v>
      </c>
      <c r="D522" s="24" t="s">
        <v>3244</v>
      </c>
      <c r="E522" s="24" t="s">
        <v>19</v>
      </c>
      <c r="F522" s="14">
        <v>41873</v>
      </c>
      <c r="G522" s="26"/>
      <c r="H522" s="9"/>
      <c r="I522" s="139"/>
      <c r="J522" s="9"/>
      <c r="K522" s="8"/>
      <c r="L522" s="9"/>
      <c r="M522" s="9"/>
      <c r="N522" s="9"/>
      <c r="O522" s="9"/>
      <c r="P522" s="9"/>
      <c r="Q522" s="18">
        <f t="shared" si="24"/>
        <v>0</v>
      </c>
      <c r="R522" s="18">
        <f t="shared" si="25"/>
        <v>0</v>
      </c>
      <c r="S522" s="18">
        <f t="shared" si="26"/>
        <v>0</v>
      </c>
    </row>
    <row r="523" spans="1:19" x14ac:dyDescent="0.25">
      <c r="A523" s="45" t="s">
        <v>3207</v>
      </c>
      <c r="B523" s="46" t="s">
        <v>3225</v>
      </c>
      <c r="C523" s="46">
        <v>332</v>
      </c>
      <c r="D523" s="24" t="s">
        <v>3245</v>
      </c>
      <c r="E523" s="24" t="s">
        <v>19</v>
      </c>
      <c r="F523" s="14">
        <v>41873</v>
      </c>
      <c r="G523" s="26">
        <f>81.89</f>
        <v>81.89</v>
      </c>
      <c r="H523" s="9"/>
      <c r="I523" s="139"/>
      <c r="J523" s="9"/>
      <c r="K523" s="8"/>
      <c r="L523" s="9"/>
      <c r="M523" s="9"/>
      <c r="N523" s="9"/>
      <c r="O523" s="9"/>
      <c r="P523" s="9"/>
      <c r="Q523" s="18">
        <f t="shared" si="24"/>
        <v>81.89</v>
      </c>
      <c r="R523" s="18">
        <f t="shared" si="25"/>
        <v>0</v>
      </c>
      <c r="S523" s="18">
        <f t="shared" si="26"/>
        <v>81.89</v>
      </c>
    </row>
    <row r="524" spans="1:19" x14ac:dyDescent="0.25">
      <c r="A524" s="45" t="s">
        <v>3208</v>
      </c>
      <c r="B524" s="46" t="s">
        <v>3226</v>
      </c>
      <c r="C524" s="46">
        <v>333</v>
      </c>
      <c r="D524" s="24" t="s">
        <v>3246</v>
      </c>
      <c r="E524" s="24" t="s">
        <v>19</v>
      </c>
      <c r="F524" s="14">
        <v>41799</v>
      </c>
      <c r="G524" s="29">
        <f>49.8</f>
        <v>49.8</v>
      </c>
      <c r="H524" s="9"/>
      <c r="I524" s="139"/>
      <c r="J524" s="9"/>
      <c r="K524" s="8"/>
      <c r="L524" s="9"/>
      <c r="M524" s="9"/>
      <c r="N524" s="9"/>
      <c r="O524" s="9"/>
      <c r="P524" s="9"/>
      <c r="Q524" s="18">
        <f t="shared" si="24"/>
        <v>49.8</v>
      </c>
      <c r="R524" s="18">
        <f t="shared" si="25"/>
        <v>0</v>
      </c>
      <c r="S524" s="18">
        <f t="shared" si="26"/>
        <v>49.8</v>
      </c>
    </row>
    <row r="525" spans="1:19" x14ac:dyDescent="0.25">
      <c r="A525" s="45" t="s">
        <v>3209</v>
      </c>
      <c r="B525" s="46" t="s">
        <v>3227</v>
      </c>
      <c r="C525" s="46">
        <v>334</v>
      </c>
      <c r="D525" s="24" t="s">
        <v>3247</v>
      </c>
      <c r="E525" s="24" t="s">
        <v>19</v>
      </c>
      <c r="F525" s="14">
        <v>41802</v>
      </c>
      <c r="G525" s="29">
        <f>71.3</f>
        <v>71.3</v>
      </c>
      <c r="H525" s="9"/>
      <c r="I525" s="139"/>
      <c r="J525" s="9"/>
      <c r="K525" s="8"/>
      <c r="L525" s="9"/>
      <c r="M525" s="9"/>
      <c r="N525" s="9"/>
      <c r="O525" s="9"/>
      <c r="P525" s="9"/>
      <c r="Q525" s="18">
        <f t="shared" si="24"/>
        <v>71.3</v>
      </c>
      <c r="R525" s="18">
        <f t="shared" si="25"/>
        <v>0</v>
      </c>
      <c r="S525" s="18">
        <f t="shared" si="26"/>
        <v>71.3</v>
      </c>
    </row>
    <row r="526" spans="1:19" x14ac:dyDescent="0.25">
      <c r="A526" s="45" t="s">
        <v>3210</v>
      </c>
      <c r="B526" s="46" t="s">
        <v>3228</v>
      </c>
      <c r="C526" s="46">
        <v>335</v>
      </c>
      <c r="D526" s="24" t="s">
        <v>3248</v>
      </c>
      <c r="E526" s="24" t="s">
        <v>19</v>
      </c>
      <c r="F526" s="14">
        <v>41711</v>
      </c>
      <c r="G526" s="29">
        <f>370.5</f>
        <v>370.5</v>
      </c>
      <c r="H526" s="9"/>
      <c r="I526" s="139"/>
      <c r="J526" s="9"/>
      <c r="K526" s="8"/>
      <c r="L526" s="9"/>
      <c r="M526" s="9"/>
      <c r="N526" s="9"/>
      <c r="O526" s="9"/>
      <c r="P526" s="9"/>
      <c r="Q526" s="18">
        <f t="shared" si="24"/>
        <v>370.5</v>
      </c>
      <c r="R526" s="18">
        <f t="shared" si="25"/>
        <v>0</v>
      </c>
      <c r="S526" s="18">
        <f t="shared" si="26"/>
        <v>370.5</v>
      </c>
    </row>
    <row r="527" spans="1:19" x14ac:dyDescent="0.25">
      <c r="A527" s="45" t="s">
        <v>3211</v>
      </c>
      <c r="B527" s="46" t="s">
        <v>3229</v>
      </c>
      <c r="C527" s="46">
        <v>336</v>
      </c>
      <c r="D527" s="24" t="s">
        <v>3249</v>
      </c>
      <c r="E527" s="24" t="s">
        <v>19</v>
      </c>
      <c r="F527" s="14">
        <v>41692</v>
      </c>
      <c r="G527" s="29">
        <f>111.4</f>
        <v>111.4</v>
      </c>
      <c r="H527" s="9"/>
      <c r="I527" s="139"/>
      <c r="J527" s="9"/>
      <c r="K527" s="8"/>
      <c r="L527" s="9"/>
      <c r="M527" s="9"/>
      <c r="N527" s="9"/>
      <c r="O527" s="9"/>
      <c r="P527" s="9"/>
      <c r="Q527" s="18">
        <f t="shared" si="24"/>
        <v>111.4</v>
      </c>
      <c r="R527" s="18">
        <f t="shared" si="25"/>
        <v>0</v>
      </c>
      <c r="S527" s="18">
        <f t="shared" si="26"/>
        <v>111.4</v>
      </c>
    </row>
    <row r="528" spans="1:19" x14ac:dyDescent="0.25">
      <c r="A528" s="45" t="s">
        <v>3212</v>
      </c>
      <c r="B528" s="46" t="s">
        <v>3230</v>
      </c>
      <c r="C528" s="46">
        <v>337</v>
      </c>
      <c r="D528" s="24" t="s">
        <v>3250</v>
      </c>
      <c r="E528" s="24" t="s">
        <v>19</v>
      </c>
      <c r="F528" s="14">
        <v>41814</v>
      </c>
      <c r="G528" s="29">
        <f>340.8</f>
        <v>340.8</v>
      </c>
      <c r="H528" s="9"/>
      <c r="I528" s="139"/>
      <c r="J528" s="9"/>
      <c r="K528" s="8"/>
      <c r="L528" s="9"/>
      <c r="M528" s="9"/>
      <c r="N528" s="9"/>
      <c r="O528" s="9"/>
      <c r="P528" s="9"/>
      <c r="Q528" s="18">
        <f t="shared" si="24"/>
        <v>340.8</v>
      </c>
      <c r="R528" s="18">
        <f t="shared" si="25"/>
        <v>0</v>
      </c>
      <c r="S528" s="18">
        <f t="shared" si="26"/>
        <v>340.8</v>
      </c>
    </row>
    <row r="529" spans="1:19" x14ac:dyDescent="0.25">
      <c r="A529" s="45" t="s">
        <v>3213</v>
      </c>
      <c r="B529" s="46" t="s">
        <v>3231</v>
      </c>
      <c r="C529" s="46">
        <v>338</v>
      </c>
      <c r="D529" s="24" t="s">
        <v>3254</v>
      </c>
      <c r="E529" s="24" t="s">
        <v>19</v>
      </c>
      <c r="F529" s="14">
        <v>41815</v>
      </c>
      <c r="G529" s="29">
        <f>265</f>
        <v>265</v>
      </c>
      <c r="H529" s="9"/>
      <c r="I529" s="139"/>
      <c r="J529" s="9"/>
      <c r="K529" s="8"/>
      <c r="L529" s="9"/>
      <c r="M529" s="9"/>
      <c r="N529" s="9"/>
      <c r="O529" s="9"/>
      <c r="P529" s="9"/>
      <c r="Q529" s="18">
        <f t="shared" ref="Q529:Q593" si="27">+G529+I529+K529+M529+O529</f>
        <v>265</v>
      </c>
      <c r="R529" s="18">
        <f t="shared" ref="R529:R593" si="28">+H529+J529+L529+N529+P529</f>
        <v>0</v>
      </c>
      <c r="S529" s="18">
        <f t="shared" ref="S529:S593" si="29">+Q529+R529</f>
        <v>265</v>
      </c>
    </row>
    <row r="530" spans="1:19" x14ac:dyDescent="0.25">
      <c r="A530" s="45" t="s">
        <v>3214</v>
      </c>
      <c r="B530" s="46" t="s">
        <v>3232</v>
      </c>
      <c r="C530" s="46">
        <v>339</v>
      </c>
      <c r="D530" s="24" t="s">
        <v>3251</v>
      </c>
      <c r="E530" s="24" t="s">
        <v>19</v>
      </c>
      <c r="F530" s="14">
        <v>41798</v>
      </c>
      <c r="G530" s="29">
        <f>110.7</f>
        <v>110.7</v>
      </c>
      <c r="H530" s="9"/>
      <c r="I530" s="139"/>
      <c r="J530" s="9"/>
      <c r="K530" s="8"/>
      <c r="L530" s="9"/>
      <c r="M530" s="9"/>
      <c r="N530" s="9"/>
      <c r="O530" s="9"/>
      <c r="P530" s="9"/>
      <c r="Q530" s="18">
        <f t="shared" si="27"/>
        <v>110.7</v>
      </c>
      <c r="R530" s="18">
        <f t="shared" si="28"/>
        <v>0</v>
      </c>
      <c r="S530" s="18">
        <f t="shared" si="29"/>
        <v>110.7</v>
      </c>
    </row>
    <row r="531" spans="1:19" x14ac:dyDescent="0.25">
      <c r="A531" s="45" t="s">
        <v>3214</v>
      </c>
      <c r="B531" s="46" t="s">
        <v>3232</v>
      </c>
      <c r="C531" s="46">
        <v>339</v>
      </c>
      <c r="D531" s="24" t="s">
        <v>3252</v>
      </c>
      <c r="E531" s="24" t="s">
        <v>19</v>
      </c>
      <c r="F531" s="14">
        <v>41798</v>
      </c>
      <c r="G531" s="29">
        <f>95.8</f>
        <v>95.8</v>
      </c>
      <c r="H531" s="9"/>
      <c r="I531" s="139"/>
      <c r="J531" s="9"/>
      <c r="K531" s="8"/>
      <c r="L531" s="9"/>
      <c r="M531" s="9"/>
      <c r="N531" s="9"/>
      <c r="O531" s="9"/>
      <c r="P531" s="9"/>
      <c r="Q531" s="18">
        <f t="shared" si="27"/>
        <v>95.8</v>
      </c>
      <c r="R531" s="18">
        <f t="shared" si="28"/>
        <v>0</v>
      </c>
      <c r="S531" s="18">
        <f t="shared" si="29"/>
        <v>95.8</v>
      </c>
    </row>
    <row r="532" spans="1:19" x14ac:dyDescent="0.25">
      <c r="A532" s="45" t="s">
        <v>3215</v>
      </c>
      <c r="B532" s="46" t="s">
        <v>2921</v>
      </c>
      <c r="C532" s="46">
        <v>340</v>
      </c>
      <c r="D532" s="24" t="s">
        <v>3253</v>
      </c>
      <c r="E532" s="24" t="s">
        <v>19</v>
      </c>
      <c r="F532" s="14">
        <v>41814</v>
      </c>
      <c r="G532" s="29">
        <f>170.5</f>
        <v>170.5</v>
      </c>
      <c r="H532" s="9"/>
      <c r="I532" s="140"/>
      <c r="J532" s="9"/>
      <c r="K532" s="8"/>
      <c r="L532" s="9"/>
      <c r="M532" s="9"/>
      <c r="N532" s="9"/>
      <c r="O532" s="9"/>
      <c r="P532" s="9"/>
      <c r="Q532" s="18">
        <f t="shared" si="27"/>
        <v>170.5</v>
      </c>
      <c r="R532" s="18">
        <f t="shared" si="28"/>
        <v>0</v>
      </c>
      <c r="S532" s="18">
        <f t="shared" si="29"/>
        <v>170.5</v>
      </c>
    </row>
    <row r="533" spans="1:19" x14ac:dyDescent="0.25">
      <c r="A533" s="28" t="s">
        <v>3255</v>
      </c>
      <c r="B533" s="30" t="s">
        <v>3259</v>
      </c>
      <c r="C533" s="53">
        <v>341</v>
      </c>
      <c r="D533" s="54" t="s">
        <v>3263</v>
      </c>
      <c r="E533" s="30" t="s">
        <v>19</v>
      </c>
      <c r="F533" s="31">
        <v>41873</v>
      </c>
      <c r="G533" s="55">
        <f>355.35+682.66+41.3+99.89+99.89+197.89+264.05</f>
        <v>1741.03</v>
      </c>
      <c r="H533" s="9"/>
      <c r="I533" s="140">
        <f>750+750+2300</f>
        <v>3800</v>
      </c>
      <c r="J533" s="9"/>
      <c r="K533" s="8"/>
      <c r="L533" s="9"/>
      <c r="M533" s="9"/>
      <c r="N533" s="9"/>
      <c r="O533" s="9"/>
      <c r="P533" s="9"/>
      <c r="Q533" s="18">
        <f t="shared" si="27"/>
        <v>5541.03</v>
      </c>
      <c r="R533" s="18">
        <f t="shared" si="28"/>
        <v>0</v>
      </c>
      <c r="S533" s="18">
        <f t="shared" si="29"/>
        <v>5541.03</v>
      </c>
    </row>
    <row r="534" spans="1:19" x14ac:dyDescent="0.25">
      <c r="A534" s="28" t="s">
        <v>3256</v>
      </c>
      <c r="B534" s="30" t="s">
        <v>3260</v>
      </c>
      <c r="C534" s="53">
        <v>342</v>
      </c>
      <c r="D534" s="54" t="s">
        <v>6980</v>
      </c>
      <c r="E534" s="30" t="s">
        <v>19</v>
      </c>
      <c r="F534" s="31">
        <v>41875</v>
      </c>
      <c r="G534" s="55">
        <f>135.62+47.2+264.75+47.2+17.6+558+175+82.6+140.12+5+47.2+50.1+47.2+47.2+240+60+558+47.2+558+50+53.1+115+9602.11+59+59+59+59+67.5+260</f>
        <v>13511.7</v>
      </c>
      <c r="H534" s="9"/>
      <c r="I534" s="140">
        <f>750+1500+850+700</f>
        <v>3800</v>
      </c>
      <c r="J534" s="9"/>
      <c r="K534" s="8"/>
      <c r="L534" s="9"/>
      <c r="M534" s="9"/>
      <c r="N534" s="9"/>
      <c r="O534" s="9"/>
      <c r="P534" s="9"/>
      <c r="Q534" s="18">
        <f t="shared" si="27"/>
        <v>17311.7</v>
      </c>
      <c r="R534" s="18">
        <f t="shared" si="28"/>
        <v>0</v>
      </c>
      <c r="S534" s="18">
        <f t="shared" si="29"/>
        <v>17311.7</v>
      </c>
    </row>
    <row r="535" spans="1:19" x14ac:dyDescent="0.25">
      <c r="A535" s="28" t="s">
        <v>3257</v>
      </c>
      <c r="B535" s="30" t="s">
        <v>3261</v>
      </c>
      <c r="C535" s="56">
        <v>343</v>
      </c>
      <c r="D535" s="54" t="s">
        <v>3264</v>
      </c>
      <c r="E535" s="30" t="s">
        <v>19</v>
      </c>
      <c r="F535" s="31">
        <v>41873</v>
      </c>
      <c r="G535" s="57">
        <v>53.1</v>
      </c>
      <c r="H535" s="9"/>
      <c r="I535" s="140"/>
      <c r="J535" s="9"/>
      <c r="K535" s="8"/>
      <c r="L535" s="9"/>
      <c r="M535" s="9"/>
      <c r="N535" s="9"/>
      <c r="O535" s="9"/>
      <c r="P535" s="9"/>
      <c r="Q535" s="18">
        <f t="shared" si="27"/>
        <v>53.1</v>
      </c>
      <c r="R535" s="18">
        <f t="shared" si="28"/>
        <v>0</v>
      </c>
      <c r="S535" s="18">
        <f t="shared" si="29"/>
        <v>53.1</v>
      </c>
    </row>
    <row r="536" spans="1:19" x14ac:dyDescent="0.25">
      <c r="A536" s="28" t="s">
        <v>3258</v>
      </c>
      <c r="B536" s="30" t="s">
        <v>3262</v>
      </c>
      <c r="C536" s="56">
        <v>344</v>
      </c>
      <c r="D536" s="54" t="s">
        <v>3265</v>
      </c>
      <c r="E536" s="30" t="s">
        <v>19</v>
      </c>
      <c r="F536" s="31">
        <v>41814</v>
      </c>
      <c r="G536" s="57">
        <f>136.6</f>
        <v>136.6</v>
      </c>
      <c r="H536" s="9"/>
      <c r="I536" s="140"/>
      <c r="J536" s="9"/>
      <c r="K536" s="8"/>
      <c r="L536" s="9"/>
      <c r="M536" s="9"/>
      <c r="N536" s="9"/>
      <c r="O536" s="9"/>
      <c r="P536" s="9"/>
      <c r="Q536" s="18">
        <f t="shared" si="27"/>
        <v>136.6</v>
      </c>
      <c r="R536" s="18">
        <f t="shared" si="28"/>
        <v>0</v>
      </c>
      <c r="S536" s="18">
        <f t="shared" si="29"/>
        <v>136.6</v>
      </c>
    </row>
    <row r="537" spans="1:19" x14ac:dyDescent="0.25">
      <c r="A537" s="45" t="s">
        <v>3269</v>
      </c>
      <c r="B537" s="46" t="s">
        <v>3282</v>
      </c>
      <c r="C537" s="56">
        <v>345</v>
      </c>
      <c r="D537" s="24" t="s">
        <v>3295</v>
      </c>
      <c r="E537" s="24" t="s">
        <v>19</v>
      </c>
      <c r="F537" s="14">
        <v>41854</v>
      </c>
      <c r="G537" s="29">
        <v>105.5</v>
      </c>
      <c r="H537" s="9"/>
      <c r="I537" s="140"/>
      <c r="J537" s="9"/>
      <c r="K537" s="8"/>
      <c r="L537" s="9"/>
      <c r="M537" s="9"/>
      <c r="N537" s="9"/>
      <c r="O537" s="9"/>
      <c r="P537" s="9"/>
      <c r="Q537" s="18">
        <f t="shared" si="27"/>
        <v>105.5</v>
      </c>
      <c r="R537" s="18">
        <f t="shared" si="28"/>
        <v>0</v>
      </c>
      <c r="S537" s="18">
        <f t="shared" si="29"/>
        <v>105.5</v>
      </c>
    </row>
    <row r="538" spans="1:19" x14ac:dyDescent="0.25">
      <c r="A538" s="45" t="s">
        <v>3269</v>
      </c>
      <c r="B538" s="46" t="s">
        <v>3282</v>
      </c>
      <c r="C538" s="56">
        <v>345</v>
      </c>
      <c r="D538" s="24" t="s">
        <v>3791</v>
      </c>
      <c r="E538" s="24" t="s">
        <v>19</v>
      </c>
      <c r="F538" s="14">
        <v>41854</v>
      </c>
      <c r="G538" s="29">
        <v>131.5</v>
      </c>
      <c r="H538" s="9"/>
      <c r="I538" s="140"/>
      <c r="J538" s="9"/>
      <c r="K538" s="8"/>
      <c r="L538" s="9"/>
      <c r="M538" s="9"/>
      <c r="N538" s="9"/>
      <c r="O538" s="9"/>
      <c r="P538" s="9"/>
      <c r="Q538" s="18">
        <f t="shared" si="27"/>
        <v>131.5</v>
      </c>
      <c r="R538" s="18">
        <f t="shared" si="28"/>
        <v>0</v>
      </c>
      <c r="S538" s="18">
        <f t="shared" si="29"/>
        <v>131.5</v>
      </c>
    </row>
    <row r="539" spans="1:19" x14ac:dyDescent="0.25">
      <c r="A539" s="45" t="s">
        <v>3270</v>
      </c>
      <c r="B539" s="46" t="s">
        <v>3283</v>
      </c>
      <c r="C539" s="56">
        <v>346</v>
      </c>
      <c r="D539" s="24" t="s">
        <v>3792</v>
      </c>
      <c r="E539" s="24" t="s">
        <v>19</v>
      </c>
      <c r="F539" s="14">
        <v>41878</v>
      </c>
      <c r="G539" s="29">
        <v>131.5</v>
      </c>
      <c r="H539" s="9"/>
      <c r="I539" s="140"/>
      <c r="J539" s="9"/>
      <c r="K539" s="8"/>
      <c r="L539" s="9"/>
      <c r="M539" s="9"/>
      <c r="N539" s="9"/>
      <c r="O539" s="9"/>
      <c r="P539" s="9"/>
      <c r="Q539" s="18">
        <f t="shared" si="27"/>
        <v>131.5</v>
      </c>
      <c r="R539" s="18">
        <f t="shared" si="28"/>
        <v>0</v>
      </c>
      <c r="S539" s="18">
        <f t="shared" si="29"/>
        <v>131.5</v>
      </c>
    </row>
    <row r="540" spans="1:19" x14ac:dyDescent="0.25">
      <c r="A540" s="45" t="s">
        <v>3271</v>
      </c>
      <c r="B540" s="46" t="s">
        <v>3284</v>
      </c>
      <c r="C540" s="56">
        <v>347</v>
      </c>
      <c r="D540" s="24" t="s">
        <v>3296</v>
      </c>
      <c r="E540" s="24" t="s">
        <v>19</v>
      </c>
      <c r="F540" s="14">
        <v>41878</v>
      </c>
      <c r="G540" s="29">
        <f>118</f>
        <v>118</v>
      </c>
      <c r="H540" s="9"/>
      <c r="I540" s="140"/>
      <c r="J540" s="9"/>
      <c r="K540" s="8"/>
      <c r="L540" s="9"/>
      <c r="M540" s="9"/>
      <c r="N540" s="9"/>
      <c r="O540" s="9"/>
      <c r="P540" s="9"/>
      <c r="Q540" s="18">
        <f t="shared" si="27"/>
        <v>118</v>
      </c>
      <c r="R540" s="18">
        <f t="shared" si="28"/>
        <v>0</v>
      </c>
      <c r="S540" s="18">
        <f t="shared" si="29"/>
        <v>118</v>
      </c>
    </row>
    <row r="541" spans="1:19" x14ac:dyDescent="0.25">
      <c r="A541" s="45" t="s">
        <v>3272</v>
      </c>
      <c r="B541" s="46" t="s">
        <v>3285</v>
      </c>
      <c r="C541" s="56">
        <v>348</v>
      </c>
      <c r="D541" s="24" t="s">
        <v>3297</v>
      </c>
      <c r="E541" s="24" t="s">
        <v>19</v>
      </c>
      <c r="F541" s="14">
        <v>41869</v>
      </c>
      <c r="G541" s="29">
        <f>102</f>
        <v>102</v>
      </c>
      <c r="H541" s="9"/>
      <c r="I541" s="140"/>
      <c r="J541" s="9"/>
      <c r="K541" s="8"/>
      <c r="L541" s="9"/>
      <c r="M541" s="9"/>
      <c r="N541" s="9"/>
      <c r="O541" s="9"/>
      <c r="P541" s="9"/>
      <c r="Q541" s="18">
        <f t="shared" si="27"/>
        <v>102</v>
      </c>
      <c r="R541" s="18">
        <f t="shared" si="28"/>
        <v>0</v>
      </c>
      <c r="S541" s="18">
        <f t="shared" si="29"/>
        <v>102</v>
      </c>
    </row>
    <row r="542" spans="1:19" x14ac:dyDescent="0.25">
      <c r="A542" s="45" t="s">
        <v>3273</v>
      </c>
      <c r="B542" s="46" t="s">
        <v>3286</v>
      </c>
      <c r="C542" s="56">
        <v>349</v>
      </c>
      <c r="D542" s="24" t="s">
        <v>3298</v>
      </c>
      <c r="E542" s="24" t="s">
        <v>19</v>
      </c>
      <c r="F542" s="14">
        <v>41853</v>
      </c>
      <c r="G542" s="29">
        <f>48</f>
        <v>48</v>
      </c>
      <c r="H542" s="9"/>
      <c r="I542" s="140"/>
      <c r="J542" s="9"/>
      <c r="K542" s="8"/>
      <c r="L542" s="9"/>
      <c r="M542" s="9"/>
      <c r="N542" s="9"/>
      <c r="O542" s="9"/>
      <c r="P542" s="9"/>
      <c r="Q542" s="18">
        <f t="shared" si="27"/>
        <v>48</v>
      </c>
      <c r="R542" s="18">
        <f t="shared" si="28"/>
        <v>0</v>
      </c>
      <c r="S542" s="18">
        <f t="shared" si="29"/>
        <v>48</v>
      </c>
    </row>
    <row r="543" spans="1:19" x14ac:dyDescent="0.25">
      <c r="A543" s="45" t="s">
        <v>3274</v>
      </c>
      <c r="B543" s="46" t="s">
        <v>3287</v>
      </c>
      <c r="C543" s="56">
        <v>350</v>
      </c>
      <c r="D543" s="24" t="s">
        <v>3299</v>
      </c>
      <c r="E543" s="24" t="s">
        <v>19</v>
      </c>
      <c r="F543" s="14">
        <v>41870</v>
      </c>
      <c r="G543" s="29">
        <f>40</f>
        <v>40</v>
      </c>
      <c r="H543" s="9"/>
      <c r="I543" s="140"/>
      <c r="J543" s="9"/>
      <c r="K543" s="8"/>
      <c r="L543" s="9"/>
      <c r="M543" s="9"/>
      <c r="N543" s="9"/>
      <c r="O543" s="9"/>
      <c r="P543" s="9"/>
      <c r="Q543" s="18">
        <f t="shared" si="27"/>
        <v>40</v>
      </c>
      <c r="R543" s="18">
        <f t="shared" si="28"/>
        <v>0</v>
      </c>
      <c r="S543" s="18">
        <f t="shared" si="29"/>
        <v>40</v>
      </c>
    </row>
    <row r="544" spans="1:19" x14ac:dyDescent="0.25">
      <c r="A544" s="45" t="s">
        <v>3275</v>
      </c>
      <c r="B544" s="46" t="s">
        <v>3288</v>
      </c>
      <c r="C544" s="56">
        <v>351</v>
      </c>
      <c r="D544" s="24" t="s">
        <v>3300</v>
      </c>
      <c r="E544" s="24" t="s">
        <v>19</v>
      </c>
      <c r="F544" s="14">
        <v>41882</v>
      </c>
      <c r="G544" s="26">
        <f>796.7+231.16+47.2+56.66+240+32.1+77.56+65.15+65.15+260+230+47.2+95.51+75</f>
        <v>2319.3900000000003</v>
      </c>
      <c r="H544" s="9"/>
      <c r="I544" s="140">
        <v>2250</v>
      </c>
      <c r="J544" s="9"/>
      <c r="K544" s="8"/>
      <c r="L544" s="9"/>
      <c r="M544" s="9"/>
      <c r="N544" s="9"/>
      <c r="O544" s="9"/>
      <c r="P544" s="9"/>
      <c r="Q544" s="18">
        <f t="shared" si="27"/>
        <v>4569.3900000000003</v>
      </c>
      <c r="R544" s="18">
        <f t="shared" si="28"/>
        <v>0</v>
      </c>
      <c r="S544" s="18">
        <f t="shared" si="29"/>
        <v>4569.3900000000003</v>
      </c>
    </row>
    <row r="545" spans="1:19" x14ac:dyDescent="0.25">
      <c r="A545" s="45" t="s">
        <v>3276</v>
      </c>
      <c r="B545" s="46" t="s">
        <v>3289</v>
      </c>
      <c r="C545" s="56">
        <v>352</v>
      </c>
      <c r="D545" s="24" t="s">
        <v>3301</v>
      </c>
      <c r="E545" s="24" t="s">
        <v>19</v>
      </c>
      <c r="F545" s="14">
        <v>41885</v>
      </c>
      <c r="G545" s="26">
        <f>203.87+28.21+33.3+69.51+135.5+113.12</f>
        <v>583.51</v>
      </c>
      <c r="H545" s="9"/>
      <c r="I545" s="140">
        <f>250</f>
        <v>250</v>
      </c>
      <c r="J545" s="9"/>
      <c r="K545" s="8"/>
      <c r="L545" s="9"/>
      <c r="M545" s="9"/>
      <c r="N545" s="9"/>
      <c r="O545" s="9"/>
      <c r="P545" s="9"/>
      <c r="Q545" s="18">
        <f t="shared" si="27"/>
        <v>833.51</v>
      </c>
      <c r="R545" s="18">
        <f t="shared" si="28"/>
        <v>0</v>
      </c>
      <c r="S545" s="18">
        <f t="shared" si="29"/>
        <v>833.51</v>
      </c>
    </row>
    <row r="546" spans="1:19" x14ac:dyDescent="0.25">
      <c r="A546" s="45" t="s">
        <v>3276</v>
      </c>
      <c r="B546" s="46" t="s">
        <v>3289</v>
      </c>
      <c r="C546" s="56">
        <v>352</v>
      </c>
      <c r="D546" s="24" t="s">
        <v>3302</v>
      </c>
      <c r="E546" s="24" t="s">
        <v>19</v>
      </c>
      <c r="F546" s="14">
        <v>41885</v>
      </c>
      <c r="G546" s="29">
        <f>94.4+40.1</f>
        <v>134.5</v>
      </c>
      <c r="H546" s="9"/>
      <c r="I546" s="140">
        <f>125</f>
        <v>125</v>
      </c>
      <c r="J546" s="9"/>
      <c r="K546" s="8"/>
      <c r="L546" s="9"/>
      <c r="M546" s="9"/>
      <c r="N546" s="9"/>
      <c r="O546" s="9"/>
      <c r="P546" s="9"/>
      <c r="Q546" s="18">
        <f t="shared" si="27"/>
        <v>259.5</v>
      </c>
      <c r="R546" s="18">
        <f t="shared" si="28"/>
        <v>0</v>
      </c>
      <c r="S546" s="18">
        <f t="shared" si="29"/>
        <v>259.5</v>
      </c>
    </row>
    <row r="547" spans="1:19" x14ac:dyDescent="0.25">
      <c r="A547" s="45"/>
      <c r="B547" s="46"/>
      <c r="C547" s="56">
        <v>352</v>
      </c>
      <c r="D547" s="24" t="s">
        <v>3503</v>
      </c>
      <c r="E547" s="24" t="s">
        <v>19</v>
      </c>
      <c r="F547" s="14">
        <v>41885</v>
      </c>
      <c r="G547" s="26">
        <f>60.89+198.2</f>
        <v>259.08999999999997</v>
      </c>
      <c r="H547" s="9"/>
      <c r="I547" s="140">
        <f>150</f>
        <v>150</v>
      </c>
      <c r="J547" s="9"/>
      <c r="K547" s="8"/>
      <c r="L547" s="9"/>
      <c r="M547" s="9"/>
      <c r="N547" s="9"/>
      <c r="O547" s="9"/>
      <c r="P547" s="9"/>
      <c r="Q547" s="18">
        <f t="shared" si="27"/>
        <v>409.09</v>
      </c>
      <c r="R547" s="18">
        <f t="shared" si="28"/>
        <v>0</v>
      </c>
      <c r="S547" s="18">
        <f t="shared" si="29"/>
        <v>409.09</v>
      </c>
    </row>
    <row r="548" spans="1:19" x14ac:dyDescent="0.25">
      <c r="A548" s="45" t="s">
        <v>3276</v>
      </c>
      <c r="B548" s="46" t="s">
        <v>3289</v>
      </c>
      <c r="C548" s="56">
        <v>352</v>
      </c>
      <c r="D548" s="24" t="s">
        <v>3303</v>
      </c>
      <c r="E548" s="24" t="s">
        <v>19</v>
      </c>
      <c r="F548" s="14">
        <v>41885</v>
      </c>
      <c r="G548" s="26">
        <f>108.24+147.67+240+133</f>
        <v>628.91</v>
      </c>
      <c r="H548" s="9"/>
      <c r="I548" s="140">
        <f>250</f>
        <v>250</v>
      </c>
      <c r="J548" s="9"/>
      <c r="K548" s="8"/>
      <c r="L548" s="9"/>
      <c r="M548" s="9"/>
      <c r="N548" s="9"/>
      <c r="O548" s="9"/>
      <c r="P548" s="9"/>
      <c r="Q548" s="18">
        <f t="shared" si="27"/>
        <v>878.91</v>
      </c>
      <c r="R548" s="18">
        <f t="shared" si="28"/>
        <v>0</v>
      </c>
      <c r="S548" s="18">
        <f t="shared" si="29"/>
        <v>878.91</v>
      </c>
    </row>
    <row r="549" spans="1:19" x14ac:dyDescent="0.25">
      <c r="A549" s="45"/>
      <c r="B549" s="46"/>
      <c r="C549" s="56">
        <v>352</v>
      </c>
      <c r="D549" s="24" t="s">
        <v>3502</v>
      </c>
      <c r="E549" s="24" t="s">
        <v>19</v>
      </c>
      <c r="F549" s="14">
        <v>41885</v>
      </c>
      <c r="G549" s="26">
        <f>141.91+499.7</f>
        <v>641.61</v>
      </c>
      <c r="H549" s="9"/>
      <c r="I549" s="140">
        <f>425</f>
        <v>425</v>
      </c>
      <c r="J549" s="9"/>
      <c r="K549" s="8"/>
      <c r="L549" s="9"/>
      <c r="M549" s="9"/>
      <c r="N549" s="9"/>
      <c r="O549" s="9"/>
      <c r="P549" s="9"/>
      <c r="Q549" s="18">
        <f t="shared" si="27"/>
        <v>1066.6100000000001</v>
      </c>
      <c r="R549" s="18">
        <f t="shared" si="28"/>
        <v>0</v>
      </c>
      <c r="S549" s="18">
        <f t="shared" si="29"/>
        <v>1066.6100000000001</v>
      </c>
    </row>
    <row r="550" spans="1:19" x14ac:dyDescent="0.25">
      <c r="A550" s="45" t="s">
        <v>3277</v>
      </c>
      <c r="B550" s="46" t="s">
        <v>3290</v>
      </c>
      <c r="C550" s="53">
        <v>353</v>
      </c>
      <c r="D550" s="24" t="s">
        <v>3304</v>
      </c>
      <c r="E550" s="24" t="s">
        <v>19</v>
      </c>
      <c r="F550" s="14">
        <v>41866</v>
      </c>
      <c r="G550" s="29">
        <f>330+4339.8</f>
        <v>4669.8</v>
      </c>
      <c r="H550" s="9"/>
      <c r="I550" s="140"/>
      <c r="J550" s="9"/>
      <c r="K550" s="8"/>
      <c r="L550" s="9"/>
      <c r="M550" s="9"/>
      <c r="N550" s="9"/>
      <c r="O550" s="9"/>
      <c r="P550" s="9"/>
      <c r="Q550" s="18">
        <f t="shared" si="27"/>
        <v>4669.8</v>
      </c>
      <c r="R550" s="18">
        <f t="shared" si="28"/>
        <v>0</v>
      </c>
      <c r="S550" s="18">
        <f t="shared" si="29"/>
        <v>4669.8</v>
      </c>
    </row>
    <row r="551" spans="1:19" x14ac:dyDescent="0.25">
      <c r="A551" s="45" t="s">
        <v>3277</v>
      </c>
      <c r="B551" s="46" t="s">
        <v>3290</v>
      </c>
      <c r="C551" s="53">
        <v>353</v>
      </c>
      <c r="D551" s="24" t="s">
        <v>3826</v>
      </c>
      <c r="E551" s="24" t="s">
        <v>19</v>
      </c>
      <c r="F551" s="14">
        <v>41866</v>
      </c>
      <c r="G551" s="29">
        <v>879.1</v>
      </c>
      <c r="H551" s="9"/>
      <c r="I551" s="140"/>
      <c r="J551" s="9"/>
      <c r="K551" s="8"/>
      <c r="L551" s="9"/>
      <c r="M551" s="9"/>
      <c r="N551" s="9"/>
      <c r="O551" s="9"/>
      <c r="P551" s="9"/>
      <c r="Q551" s="18">
        <f t="shared" si="27"/>
        <v>879.1</v>
      </c>
      <c r="R551" s="18">
        <f t="shared" si="28"/>
        <v>0</v>
      </c>
      <c r="S551" s="18">
        <f t="shared" si="29"/>
        <v>879.1</v>
      </c>
    </row>
    <row r="552" spans="1:19" x14ac:dyDescent="0.25">
      <c r="A552" s="45" t="s">
        <v>3277</v>
      </c>
      <c r="B552" s="46" t="s">
        <v>3290</v>
      </c>
      <c r="C552" s="53">
        <v>353</v>
      </c>
      <c r="D552" s="24" t="s">
        <v>6269</v>
      </c>
      <c r="E552" s="24" t="s">
        <v>19</v>
      </c>
      <c r="F552" s="14">
        <v>41866</v>
      </c>
      <c r="G552" s="29">
        <v>277.10000000000002</v>
      </c>
      <c r="H552" s="9"/>
      <c r="I552" s="140"/>
      <c r="J552" s="9"/>
      <c r="K552" s="8"/>
      <c r="L552" s="9"/>
      <c r="M552" s="9"/>
      <c r="N552" s="9"/>
      <c r="O552" s="9"/>
      <c r="P552" s="9"/>
      <c r="Q552" s="18"/>
      <c r="R552" s="18"/>
      <c r="S552" s="18"/>
    </row>
    <row r="553" spans="1:19" x14ac:dyDescent="0.25">
      <c r="A553" s="45" t="s">
        <v>3278</v>
      </c>
      <c r="B553" s="46" t="s">
        <v>3291</v>
      </c>
      <c r="C553" s="53">
        <v>354</v>
      </c>
      <c r="D553" s="24" t="s">
        <v>3305</v>
      </c>
      <c r="E553" s="24" t="s">
        <v>19</v>
      </c>
      <c r="F553" s="14">
        <v>41884</v>
      </c>
      <c r="G553" s="26">
        <f>165.29+240.43</f>
        <v>405.72</v>
      </c>
      <c r="H553" s="9"/>
      <c r="I553" s="140"/>
      <c r="J553" s="9"/>
      <c r="K553" s="8"/>
      <c r="L553" s="9"/>
      <c r="M553" s="9"/>
      <c r="N553" s="9"/>
      <c r="O553" s="9"/>
      <c r="P553" s="9"/>
      <c r="Q553" s="18">
        <f t="shared" si="27"/>
        <v>405.72</v>
      </c>
      <c r="R553" s="18">
        <f t="shared" si="28"/>
        <v>0</v>
      </c>
      <c r="S553" s="18">
        <f t="shared" si="29"/>
        <v>405.72</v>
      </c>
    </row>
    <row r="554" spans="1:19" x14ac:dyDescent="0.25">
      <c r="A554" s="45" t="s">
        <v>3279</v>
      </c>
      <c r="B554" s="46" t="s">
        <v>3292</v>
      </c>
      <c r="C554" s="53">
        <v>355</v>
      </c>
      <c r="D554" s="24" t="s">
        <v>3306</v>
      </c>
      <c r="E554" s="24" t="s">
        <v>19</v>
      </c>
      <c r="F554" s="14">
        <v>41881</v>
      </c>
      <c r="G554" s="26">
        <f>120.07+205.62+174.54+135.97+135.97+135.97+236.6+119.42+223.58</f>
        <v>1487.74</v>
      </c>
      <c r="H554" s="9"/>
      <c r="I554" s="140">
        <f>750*3+1125</f>
        <v>3375</v>
      </c>
      <c r="J554" s="9"/>
      <c r="K554" s="8"/>
      <c r="L554" s="9"/>
      <c r="M554" s="9"/>
      <c r="N554" s="9"/>
      <c r="O554" s="9"/>
      <c r="P554" s="9"/>
      <c r="Q554" s="18">
        <f t="shared" si="27"/>
        <v>4862.74</v>
      </c>
      <c r="R554" s="18">
        <f t="shared" si="28"/>
        <v>0</v>
      </c>
      <c r="S554" s="18">
        <f t="shared" si="29"/>
        <v>4862.74</v>
      </c>
    </row>
    <row r="555" spans="1:19" x14ac:dyDescent="0.25">
      <c r="A555" s="45" t="s">
        <v>3280</v>
      </c>
      <c r="B555" s="46" t="s">
        <v>3293</v>
      </c>
      <c r="C555" s="53">
        <v>356</v>
      </c>
      <c r="D555" s="24" t="s">
        <v>3307</v>
      </c>
      <c r="E555" s="24" t="s">
        <v>19</v>
      </c>
      <c r="F555" s="14">
        <v>41729</v>
      </c>
      <c r="G555" s="26">
        <f>60.77</f>
        <v>60.77</v>
      </c>
      <c r="H555" s="9"/>
      <c r="I555" s="140"/>
      <c r="J555" s="9"/>
      <c r="K555" s="8"/>
      <c r="L555" s="9"/>
      <c r="M555" s="9"/>
      <c r="N555" s="9"/>
      <c r="O555" s="9"/>
      <c r="P555" s="9"/>
      <c r="Q555" s="18">
        <f t="shared" si="27"/>
        <v>60.77</v>
      </c>
      <c r="R555" s="18">
        <f t="shared" si="28"/>
        <v>0</v>
      </c>
      <c r="S555" s="18">
        <f t="shared" si="29"/>
        <v>60.77</v>
      </c>
    </row>
    <row r="556" spans="1:19" x14ac:dyDescent="0.25">
      <c r="A556" s="45" t="s">
        <v>3281</v>
      </c>
      <c r="B556" s="46" t="s">
        <v>3294</v>
      </c>
      <c r="C556" s="53">
        <v>357</v>
      </c>
      <c r="D556" s="24" t="s">
        <v>3308</v>
      </c>
      <c r="E556" s="24" t="s">
        <v>19</v>
      </c>
      <c r="F556" s="14">
        <v>41849</v>
      </c>
      <c r="G556" s="26">
        <f>123.75</f>
        <v>123.75</v>
      </c>
      <c r="H556" s="9"/>
      <c r="I556" s="140"/>
      <c r="J556" s="9"/>
      <c r="K556" s="8"/>
      <c r="L556" s="9"/>
      <c r="M556" s="9"/>
      <c r="N556" s="9"/>
      <c r="O556" s="9"/>
      <c r="P556" s="9"/>
      <c r="Q556" s="18">
        <f t="shared" si="27"/>
        <v>123.75</v>
      </c>
      <c r="R556" s="18">
        <f t="shared" si="28"/>
        <v>0</v>
      </c>
      <c r="S556" s="18">
        <f t="shared" si="29"/>
        <v>123.75</v>
      </c>
    </row>
    <row r="557" spans="1:19" x14ac:dyDescent="0.25">
      <c r="A557" s="45" t="s">
        <v>3312</v>
      </c>
      <c r="B557" s="46" t="s">
        <v>3328</v>
      </c>
      <c r="C557" s="46">
        <v>358</v>
      </c>
      <c r="D557" s="24" t="s">
        <v>3344</v>
      </c>
      <c r="E557" s="24" t="s">
        <v>19</v>
      </c>
      <c r="F557" s="49">
        <v>41881</v>
      </c>
      <c r="G557" s="29"/>
      <c r="H557" s="9"/>
      <c r="I557" s="140"/>
      <c r="J557" s="9"/>
      <c r="K557" s="8"/>
      <c r="L557" s="9"/>
      <c r="M557" s="9"/>
      <c r="N557" s="9"/>
      <c r="O557" s="9"/>
      <c r="P557" s="9"/>
      <c r="Q557" s="18">
        <f t="shared" si="27"/>
        <v>0</v>
      </c>
      <c r="R557" s="18">
        <f t="shared" si="28"/>
        <v>0</v>
      </c>
      <c r="S557" s="18">
        <f t="shared" si="29"/>
        <v>0</v>
      </c>
    </row>
    <row r="558" spans="1:19" x14ac:dyDescent="0.25">
      <c r="A558" s="45" t="s">
        <v>3313</v>
      </c>
      <c r="B558" s="46" t="s">
        <v>2323</v>
      </c>
      <c r="C558" s="46">
        <v>359</v>
      </c>
      <c r="D558" s="24" t="s">
        <v>3345</v>
      </c>
      <c r="E558" s="24" t="s">
        <v>19</v>
      </c>
      <c r="F558" s="49">
        <v>41883</v>
      </c>
      <c r="G558" s="29">
        <f>105</f>
        <v>105</v>
      </c>
      <c r="H558" s="9"/>
      <c r="I558" s="140"/>
      <c r="J558" s="9"/>
      <c r="K558" s="8"/>
      <c r="L558" s="9"/>
      <c r="M558" s="9"/>
      <c r="N558" s="9"/>
      <c r="O558" s="9"/>
      <c r="P558" s="9"/>
      <c r="Q558" s="18">
        <f t="shared" si="27"/>
        <v>105</v>
      </c>
      <c r="R558" s="18">
        <f t="shared" si="28"/>
        <v>0</v>
      </c>
      <c r="S558" s="18">
        <f t="shared" si="29"/>
        <v>105</v>
      </c>
    </row>
    <row r="559" spans="1:19" x14ac:dyDescent="0.25">
      <c r="A559" s="45" t="s">
        <v>3314</v>
      </c>
      <c r="B559" s="46" t="s">
        <v>3329</v>
      </c>
      <c r="C559" s="46">
        <v>360</v>
      </c>
      <c r="D559" s="24" t="s">
        <v>4181</v>
      </c>
      <c r="E559" s="24" t="s">
        <v>19</v>
      </c>
      <c r="F559" s="49">
        <v>41885</v>
      </c>
      <c r="G559" s="29">
        <f>120.83</f>
        <v>120.83</v>
      </c>
      <c r="H559" s="9"/>
      <c r="I559" s="140"/>
      <c r="J559" s="9"/>
      <c r="K559" s="8"/>
      <c r="L559" s="9"/>
      <c r="M559" s="9"/>
      <c r="N559" s="9"/>
      <c r="O559" s="9"/>
      <c r="P559" s="9"/>
      <c r="Q559" s="18">
        <f t="shared" si="27"/>
        <v>120.83</v>
      </c>
      <c r="R559" s="18">
        <f t="shared" si="28"/>
        <v>0</v>
      </c>
      <c r="S559" s="18">
        <f t="shared" si="29"/>
        <v>120.83</v>
      </c>
    </row>
    <row r="560" spans="1:19" x14ac:dyDescent="0.25">
      <c r="A560" s="45" t="s">
        <v>3315</v>
      </c>
      <c r="B560" s="46" t="s">
        <v>3330</v>
      </c>
      <c r="C560" s="46">
        <v>361</v>
      </c>
      <c r="D560" s="24" t="s">
        <v>3346</v>
      </c>
      <c r="E560" s="24" t="s">
        <v>19</v>
      </c>
      <c r="F560" s="49">
        <v>41886</v>
      </c>
      <c r="G560" s="29">
        <f>189.8</f>
        <v>189.8</v>
      </c>
      <c r="H560" s="9"/>
      <c r="I560" s="140"/>
      <c r="J560" s="9"/>
      <c r="K560" s="8"/>
      <c r="L560" s="9"/>
      <c r="M560" s="9"/>
      <c r="N560" s="9"/>
      <c r="O560" s="9"/>
      <c r="P560" s="9"/>
      <c r="Q560" s="18">
        <f t="shared" si="27"/>
        <v>189.8</v>
      </c>
      <c r="R560" s="18">
        <f t="shared" si="28"/>
        <v>0</v>
      </c>
      <c r="S560" s="18">
        <f t="shared" si="29"/>
        <v>189.8</v>
      </c>
    </row>
    <row r="561" spans="1:19" x14ac:dyDescent="0.25">
      <c r="A561" s="45" t="s">
        <v>3316</v>
      </c>
      <c r="B561" s="46" t="s">
        <v>3331</v>
      </c>
      <c r="C561" s="46">
        <v>362</v>
      </c>
      <c r="D561" s="24" t="s">
        <v>3347</v>
      </c>
      <c r="E561" s="24" t="s">
        <v>19</v>
      </c>
      <c r="F561" s="49">
        <v>41835</v>
      </c>
      <c r="G561" s="29">
        <f>102.5</f>
        <v>102.5</v>
      </c>
      <c r="H561" s="9"/>
      <c r="I561" s="140"/>
      <c r="J561" s="9"/>
      <c r="K561" s="8"/>
      <c r="L561" s="9"/>
      <c r="M561" s="9"/>
      <c r="N561" s="9"/>
      <c r="O561" s="9"/>
      <c r="P561" s="9"/>
      <c r="Q561" s="18">
        <f t="shared" si="27"/>
        <v>102.5</v>
      </c>
      <c r="R561" s="18">
        <f t="shared" si="28"/>
        <v>0</v>
      </c>
      <c r="S561" s="18">
        <f t="shared" si="29"/>
        <v>102.5</v>
      </c>
    </row>
    <row r="562" spans="1:19" x14ac:dyDescent="0.25">
      <c r="A562" s="45" t="s">
        <v>3317</v>
      </c>
      <c r="B562" s="46" t="s">
        <v>3332</v>
      </c>
      <c r="C562" s="46">
        <v>363</v>
      </c>
      <c r="D562" s="24" t="s">
        <v>3348</v>
      </c>
      <c r="E562" s="24" t="s">
        <v>19</v>
      </c>
      <c r="F562" s="49">
        <v>41843</v>
      </c>
      <c r="G562" s="29">
        <f>210</f>
        <v>210</v>
      </c>
      <c r="H562" s="9"/>
      <c r="I562" s="139"/>
      <c r="J562" s="9"/>
      <c r="K562" s="8"/>
      <c r="L562" s="9"/>
      <c r="M562" s="9"/>
      <c r="N562" s="9"/>
      <c r="O562" s="9"/>
      <c r="P562" s="9"/>
      <c r="Q562" s="18">
        <f t="shared" si="27"/>
        <v>210</v>
      </c>
      <c r="R562" s="18">
        <f t="shared" si="28"/>
        <v>0</v>
      </c>
      <c r="S562" s="18">
        <f t="shared" si="29"/>
        <v>210</v>
      </c>
    </row>
    <row r="563" spans="1:19" x14ac:dyDescent="0.25">
      <c r="A563" s="45" t="s">
        <v>3318</v>
      </c>
      <c r="B563" s="46" t="s">
        <v>3333</v>
      </c>
      <c r="C563" s="46">
        <v>364</v>
      </c>
      <c r="D563" s="24" t="s">
        <v>3349</v>
      </c>
      <c r="E563" s="24" t="s">
        <v>19</v>
      </c>
      <c r="F563" s="49">
        <v>41836</v>
      </c>
      <c r="G563" s="29">
        <f>73.9</f>
        <v>73.900000000000006</v>
      </c>
      <c r="H563" s="9"/>
      <c r="I563" s="139"/>
      <c r="J563" s="9"/>
      <c r="K563" s="8"/>
      <c r="L563" s="9"/>
      <c r="M563" s="9"/>
      <c r="N563" s="9"/>
      <c r="O563" s="9"/>
      <c r="P563" s="9"/>
      <c r="Q563" s="18">
        <f t="shared" si="27"/>
        <v>73.900000000000006</v>
      </c>
      <c r="R563" s="18">
        <f t="shared" si="28"/>
        <v>0</v>
      </c>
      <c r="S563" s="18">
        <f t="shared" si="29"/>
        <v>73.900000000000006</v>
      </c>
    </row>
    <row r="564" spans="1:19" x14ac:dyDescent="0.25">
      <c r="A564" s="45" t="s">
        <v>3318</v>
      </c>
      <c r="B564" s="46" t="s">
        <v>3333</v>
      </c>
      <c r="C564" s="46">
        <v>364</v>
      </c>
      <c r="D564" s="24" t="s">
        <v>3350</v>
      </c>
      <c r="E564" s="24" t="s">
        <v>19</v>
      </c>
      <c r="F564" s="49">
        <v>41836</v>
      </c>
      <c r="G564" s="29">
        <f>40</f>
        <v>40</v>
      </c>
      <c r="H564" s="9"/>
      <c r="I564" s="139"/>
      <c r="J564" s="9"/>
      <c r="K564" s="8"/>
      <c r="L564" s="9"/>
      <c r="M564" s="9"/>
      <c r="N564" s="9"/>
      <c r="O564" s="9"/>
      <c r="P564" s="9"/>
      <c r="Q564" s="18">
        <f t="shared" si="27"/>
        <v>40</v>
      </c>
      <c r="R564" s="18">
        <f t="shared" si="28"/>
        <v>0</v>
      </c>
      <c r="S564" s="18">
        <f t="shared" si="29"/>
        <v>40</v>
      </c>
    </row>
    <row r="565" spans="1:19" x14ac:dyDescent="0.25">
      <c r="A565" s="45" t="s">
        <v>3319</v>
      </c>
      <c r="B565" s="46" t="s">
        <v>3334</v>
      </c>
      <c r="C565" s="46">
        <v>365</v>
      </c>
      <c r="D565" s="24" t="s">
        <v>3351</v>
      </c>
      <c r="E565" s="24" t="s">
        <v>19</v>
      </c>
      <c r="F565" s="49">
        <v>41649</v>
      </c>
      <c r="G565" s="29"/>
      <c r="H565" s="9"/>
      <c r="I565" s="139"/>
      <c r="J565" s="9"/>
      <c r="K565" s="8"/>
      <c r="L565" s="9"/>
      <c r="M565" s="9"/>
      <c r="N565" s="9"/>
      <c r="O565" s="9"/>
      <c r="P565" s="9"/>
      <c r="Q565" s="18">
        <f t="shared" si="27"/>
        <v>0</v>
      </c>
      <c r="R565" s="18">
        <f t="shared" si="28"/>
        <v>0</v>
      </c>
      <c r="S565" s="18">
        <f t="shared" si="29"/>
        <v>0</v>
      </c>
    </row>
    <row r="566" spans="1:19" x14ac:dyDescent="0.25">
      <c r="A566" s="45" t="s">
        <v>3319</v>
      </c>
      <c r="B566" s="46" t="s">
        <v>3334</v>
      </c>
      <c r="C566" s="46">
        <v>365</v>
      </c>
      <c r="D566" s="24" t="s">
        <v>3352</v>
      </c>
      <c r="E566" s="24" t="s">
        <v>19</v>
      </c>
      <c r="F566" s="49">
        <v>41649</v>
      </c>
      <c r="G566" s="29">
        <f>40</f>
        <v>40</v>
      </c>
      <c r="H566" s="9"/>
      <c r="I566" s="139"/>
      <c r="J566" s="9"/>
      <c r="K566" s="8"/>
      <c r="L566" s="9"/>
      <c r="M566" s="9"/>
      <c r="N566" s="9"/>
      <c r="O566" s="9"/>
      <c r="P566" s="9"/>
      <c r="Q566" s="18">
        <f t="shared" si="27"/>
        <v>40</v>
      </c>
      <c r="R566" s="18">
        <f t="shared" si="28"/>
        <v>0</v>
      </c>
      <c r="S566" s="18">
        <f t="shared" si="29"/>
        <v>40</v>
      </c>
    </row>
    <row r="567" spans="1:19" x14ac:dyDescent="0.25">
      <c r="A567" s="45" t="s">
        <v>3320</v>
      </c>
      <c r="B567" s="46" t="s">
        <v>3335</v>
      </c>
      <c r="C567" s="46">
        <v>366</v>
      </c>
      <c r="D567" s="24" t="s">
        <v>3353</v>
      </c>
      <c r="E567" s="24" t="s">
        <v>19</v>
      </c>
      <c r="F567" s="49">
        <v>41834</v>
      </c>
      <c r="G567" s="29">
        <f>141</f>
        <v>141</v>
      </c>
      <c r="H567" s="9"/>
      <c r="I567" s="139"/>
      <c r="J567" s="9"/>
      <c r="K567" s="8"/>
      <c r="L567" s="9"/>
      <c r="M567" s="9"/>
      <c r="N567" s="9"/>
      <c r="O567" s="9"/>
      <c r="P567" s="9"/>
      <c r="Q567" s="18">
        <f t="shared" si="27"/>
        <v>141</v>
      </c>
      <c r="R567" s="18">
        <f t="shared" si="28"/>
        <v>0</v>
      </c>
      <c r="S567" s="18">
        <f t="shared" si="29"/>
        <v>141</v>
      </c>
    </row>
    <row r="568" spans="1:19" x14ac:dyDescent="0.25">
      <c r="A568" s="45" t="s">
        <v>3321</v>
      </c>
      <c r="B568" s="46" t="s">
        <v>3336</v>
      </c>
      <c r="C568" s="46">
        <v>367</v>
      </c>
      <c r="D568" s="24" t="s">
        <v>3354</v>
      </c>
      <c r="E568" s="24" t="s">
        <v>19</v>
      </c>
      <c r="F568" s="49">
        <v>41840</v>
      </c>
      <c r="G568" s="29">
        <f>114</f>
        <v>114</v>
      </c>
      <c r="H568" s="9"/>
      <c r="I568" s="139"/>
      <c r="J568" s="9"/>
      <c r="K568" s="8"/>
      <c r="L568" s="9"/>
      <c r="M568" s="9"/>
      <c r="N568" s="9"/>
      <c r="O568" s="9"/>
      <c r="P568" s="9"/>
      <c r="Q568" s="18">
        <f t="shared" si="27"/>
        <v>114</v>
      </c>
      <c r="R568" s="18">
        <f t="shared" si="28"/>
        <v>0</v>
      </c>
      <c r="S568" s="18">
        <f t="shared" si="29"/>
        <v>114</v>
      </c>
    </row>
    <row r="569" spans="1:19" x14ac:dyDescent="0.25">
      <c r="A569" s="45" t="s">
        <v>3322</v>
      </c>
      <c r="B569" s="46" t="s">
        <v>3337</v>
      </c>
      <c r="C569" s="46">
        <v>368</v>
      </c>
      <c r="D569" s="24" t="s">
        <v>3355</v>
      </c>
      <c r="E569" s="24" t="s">
        <v>19</v>
      </c>
      <c r="F569" s="49">
        <v>41834</v>
      </c>
      <c r="G569" s="29">
        <f>84.9</f>
        <v>84.9</v>
      </c>
      <c r="H569" s="9"/>
      <c r="I569" s="139"/>
      <c r="J569" s="9"/>
      <c r="K569" s="8"/>
      <c r="L569" s="9"/>
      <c r="M569" s="9"/>
      <c r="N569" s="9"/>
      <c r="O569" s="9"/>
      <c r="P569" s="9"/>
      <c r="Q569" s="18">
        <f t="shared" si="27"/>
        <v>84.9</v>
      </c>
      <c r="R569" s="18">
        <f t="shared" si="28"/>
        <v>0</v>
      </c>
      <c r="S569" s="18">
        <f t="shared" si="29"/>
        <v>84.9</v>
      </c>
    </row>
    <row r="570" spans="1:19" x14ac:dyDescent="0.25">
      <c r="A570" s="45" t="s">
        <v>3322</v>
      </c>
      <c r="B570" s="46" t="s">
        <v>3337</v>
      </c>
      <c r="C570" s="46">
        <v>368</v>
      </c>
      <c r="D570" s="24" t="s">
        <v>3356</v>
      </c>
      <c r="E570" s="24" t="s">
        <v>19</v>
      </c>
      <c r="F570" s="49">
        <v>41834</v>
      </c>
      <c r="G570" s="29">
        <f>84.9</f>
        <v>84.9</v>
      </c>
      <c r="H570" s="9"/>
      <c r="I570" s="139"/>
      <c r="J570" s="9"/>
      <c r="K570" s="8"/>
      <c r="L570" s="9"/>
      <c r="M570" s="9"/>
      <c r="N570" s="9"/>
      <c r="O570" s="9"/>
      <c r="P570" s="9"/>
      <c r="Q570" s="18">
        <f t="shared" si="27"/>
        <v>84.9</v>
      </c>
      <c r="R570" s="18">
        <f t="shared" si="28"/>
        <v>0</v>
      </c>
      <c r="S570" s="18">
        <f t="shared" si="29"/>
        <v>84.9</v>
      </c>
    </row>
    <row r="571" spans="1:19" x14ac:dyDescent="0.25">
      <c r="A571" s="45" t="s">
        <v>3323</v>
      </c>
      <c r="B571" s="46" t="s">
        <v>3338</v>
      </c>
      <c r="C571" s="46">
        <v>369</v>
      </c>
      <c r="D571" s="24" t="s">
        <v>3357</v>
      </c>
      <c r="E571" s="24" t="s">
        <v>19</v>
      </c>
      <c r="F571" s="49">
        <v>41829</v>
      </c>
      <c r="G571" s="29">
        <f>112.5</f>
        <v>112.5</v>
      </c>
      <c r="H571" s="9"/>
      <c r="I571" s="139"/>
      <c r="J571" s="9"/>
      <c r="K571" s="8"/>
      <c r="L571" s="9"/>
      <c r="M571" s="9"/>
      <c r="N571" s="9"/>
      <c r="O571" s="9"/>
      <c r="P571" s="9"/>
      <c r="Q571" s="18">
        <f t="shared" si="27"/>
        <v>112.5</v>
      </c>
      <c r="R571" s="18">
        <f t="shared" si="28"/>
        <v>0</v>
      </c>
      <c r="S571" s="18">
        <f t="shared" si="29"/>
        <v>112.5</v>
      </c>
    </row>
    <row r="572" spans="1:19" x14ac:dyDescent="0.25">
      <c r="A572" s="45" t="s">
        <v>3323</v>
      </c>
      <c r="B572" s="46" t="s">
        <v>3338</v>
      </c>
      <c r="C572" s="46">
        <v>369</v>
      </c>
      <c r="D572" s="24" t="s">
        <v>3358</v>
      </c>
      <c r="E572" s="24" t="s">
        <v>19</v>
      </c>
      <c r="F572" s="49">
        <v>41829</v>
      </c>
      <c r="G572" s="29">
        <f>318.8</f>
        <v>318.8</v>
      </c>
      <c r="H572" s="9"/>
      <c r="I572" s="139"/>
      <c r="J572" s="9"/>
      <c r="K572" s="8"/>
      <c r="L572" s="9"/>
      <c r="M572" s="9"/>
      <c r="N572" s="9"/>
      <c r="O572" s="9"/>
      <c r="P572" s="9"/>
      <c r="Q572" s="18">
        <f t="shared" si="27"/>
        <v>318.8</v>
      </c>
      <c r="R572" s="18">
        <f t="shared" si="28"/>
        <v>0</v>
      </c>
      <c r="S572" s="18">
        <f t="shared" si="29"/>
        <v>318.8</v>
      </c>
    </row>
    <row r="573" spans="1:19" x14ac:dyDescent="0.25">
      <c r="A573" s="45" t="s">
        <v>3323</v>
      </c>
      <c r="B573" s="46" t="s">
        <v>3338</v>
      </c>
      <c r="C573" s="46">
        <v>369</v>
      </c>
      <c r="D573" s="24" t="s">
        <v>3359</v>
      </c>
      <c r="E573" s="24" t="s">
        <v>19</v>
      </c>
      <c r="F573" s="49">
        <v>41829</v>
      </c>
      <c r="G573" s="29">
        <f>48</f>
        <v>48</v>
      </c>
      <c r="H573" s="9"/>
      <c r="I573" s="139"/>
      <c r="J573" s="9"/>
      <c r="K573" s="8"/>
      <c r="L573" s="9"/>
      <c r="M573" s="9"/>
      <c r="N573" s="9"/>
      <c r="O573" s="9"/>
      <c r="P573" s="9"/>
      <c r="Q573" s="18">
        <f t="shared" si="27"/>
        <v>48</v>
      </c>
      <c r="R573" s="18">
        <f t="shared" si="28"/>
        <v>0</v>
      </c>
      <c r="S573" s="18">
        <f t="shared" si="29"/>
        <v>48</v>
      </c>
    </row>
    <row r="574" spans="1:19" x14ac:dyDescent="0.25">
      <c r="A574" s="45" t="s">
        <v>3323</v>
      </c>
      <c r="B574" s="46" t="s">
        <v>3338</v>
      </c>
      <c r="C574" s="46">
        <v>369</v>
      </c>
      <c r="D574" s="24" t="s">
        <v>3360</v>
      </c>
      <c r="E574" s="24" t="s">
        <v>19</v>
      </c>
      <c r="F574" s="49">
        <v>41829</v>
      </c>
      <c r="G574" s="29">
        <f>48</f>
        <v>48</v>
      </c>
      <c r="H574" s="9"/>
      <c r="I574" s="139"/>
      <c r="J574" s="9"/>
      <c r="K574" s="8"/>
      <c r="L574" s="9"/>
      <c r="M574" s="9"/>
      <c r="N574" s="9"/>
      <c r="O574" s="9"/>
      <c r="P574" s="9"/>
      <c r="Q574" s="18">
        <f t="shared" si="27"/>
        <v>48</v>
      </c>
      <c r="R574" s="18">
        <f t="shared" si="28"/>
        <v>0</v>
      </c>
      <c r="S574" s="18">
        <f t="shared" si="29"/>
        <v>48</v>
      </c>
    </row>
    <row r="575" spans="1:19" x14ac:dyDescent="0.25">
      <c r="A575" s="45" t="s">
        <v>3324</v>
      </c>
      <c r="B575" s="46" t="s">
        <v>3339</v>
      </c>
      <c r="C575" s="46">
        <v>370</v>
      </c>
      <c r="D575" s="24" t="s">
        <v>3361</v>
      </c>
      <c r="E575" s="24" t="s">
        <v>19</v>
      </c>
      <c r="F575" s="49">
        <v>41826</v>
      </c>
      <c r="G575" s="29">
        <f>257.5</f>
        <v>257.5</v>
      </c>
      <c r="H575" s="9"/>
      <c r="I575" s="139"/>
      <c r="J575" s="9"/>
      <c r="K575" s="8"/>
      <c r="L575" s="9"/>
      <c r="M575" s="9"/>
      <c r="N575" s="9"/>
      <c r="O575" s="9"/>
      <c r="P575" s="9"/>
      <c r="Q575" s="18">
        <f t="shared" si="27"/>
        <v>257.5</v>
      </c>
      <c r="R575" s="18">
        <f t="shared" si="28"/>
        <v>0</v>
      </c>
      <c r="S575" s="18">
        <f t="shared" si="29"/>
        <v>257.5</v>
      </c>
    </row>
    <row r="576" spans="1:19" x14ac:dyDescent="0.25">
      <c r="A576" s="45" t="s">
        <v>3325</v>
      </c>
      <c r="B576" s="46" t="s">
        <v>3340</v>
      </c>
      <c r="C576" s="46">
        <v>371</v>
      </c>
      <c r="D576" s="24" t="s">
        <v>3362</v>
      </c>
      <c r="E576" s="24" t="s">
        <v>19</v>
      </c>
      <c r="F576" s="49">
        <v>41850</v>
      </c>
      <c r="G576" s="29">
        <f>147</f>
        <v>147</v>
      </c>
      <c r="H576" s="9"/>
      <c r="I576" s="139"/>
      <c r="J576" s="9"/>
      <c r="K576" s="8"/>
      <c r="L576" s="9"/>
      <c r="M576" s="9"/>
      <c r="N576" s="9"/>
      <c r="O576" s="9"/>
      <c r="P576" s="9"/>
      <c r="Q576" s="18">
        <f t="shared" si="27"/>
        <v>147</v>
      </c>
      <c r="R576" s="18">
        <f t="shared" si="28"/>
        <v>0</v>
      </c>
      <c r="S576" s="18">
        <f t="shared" si="29"/>
        <v>147</v>
      </c>
    </row>
    <row r="577" spans="1:19" x14ac:dyDescent="0.25">
      <c r="A577" s="45" t="s">
        <v>3326</v>
      </c>
      <c r="B577" s="46" t="s">
        <v>3341</v>
      </c>
      <c r="C577" s="46">
        <v>372</v>
      </c>
      <c r="D577" s="24" t="s">
        <v>3363</v>
      </c>
      <c r="E577" s="24" t="s">
        <v>19</v>
      </c>
      <c r="F577" s="49">
        <v>41847</v>
      </c>
      <c r="G577" s="29">
        <f>75</f>
        <v>75</v>
      </c>
      <c r="H577" s="9"/>
      <c r="I577" s="139"/>
      <c r="J577" s="9"/>
      <c r="K577" s="8"/>
      <c r="L577" s="9"/>
      <c r="M577" s="9"/>
      <c r="N577" s="9"/>
      <c r="O577" s="9"/>
      <c r="P577" s="9"/>
      <c r="Q577" s="18">
        <f t="shared" si="27"/>
        <v>75</v>
      </c>
      <c r="R577" s="18">
        <f t="shared" si="28"/>
        <v>0</v>
      </c>
      <c r="S577" s="18">
        <f t="shared" si="29"/>
        <v>75</v>
      </c>
    </row>
    <row r="578" spans="1:19" x14ac:dyDescent="0.25">
      <c r="A578" s="45" t="s">
        <v>3327</v>
      </c>
      <c r="B578" s="46" t="s">
        <v>3342</v>
      </c>
      <c r="C578" s="46">
        <v>373</v>
      </c>
      <c r="D578" s="24" t="s">
        <v>3364</v>
      </c>
      <c r="E578" s="24" t="s">
        <v>19</v>
      </c>
      <c r="F578" s="49">
        <v>41845</v>
      </c>
      <c r="G578" s="29">
        <f>134.1</f>
        <v>134.1</v>
      </c>
      <c r="H578" s="9"/>
      <c r="I578" s="139"/>
      <c r="J578" s="9"/>
      <c r="K578" s="8"/>
      <c r="L578" s="9"/>
      <c r="M578" s="9"/>
      <c r="N578" s="9"/>
      <c r="O578" s="9"/>
      <c r="P578" s="9"/>
      <c r="Q578" s="18">
        <f t="shared" si="27"/>
        <v>134.1</v>
      </c>
      <c r="R578" s="18">
        <f t="shared" si="28"/>
        <v>0</v>
      </c>
      <c r="S578" s="18">
        <f t="shared" si="29"/>
        <v>134.1</v>
      </c>
    </row>
    <row r="579" spans="1:19" x14ac:dyDescent="0.25">
      <c r="A579" s="45" t="s">
        <v>3195</v>
      </c>
      <c r="B579" s="46" t="s">
        <v>3343</v>
      </c>
      <c r="C579" s="46">
        <v>374</v>
      </c>
      <c r="D579" s="24" t="s">
        <v>3365</v>
      </c>
      <c r="E579" s="24" t="s">
        <v>19</v>
      </c>
      <c r="F579" s="49">
        <v>41892</v>
      </c>
      <c r="G579" s="26">
        <f>185.18+1300.65+3012.96+240+64.9+95.26+706+64.9+631.3+95.26+64.9+631.3+1628.59</f>
        <v>8721.1999999999989</v>
      </c>
      <c r="H579" s="9"/>
      <c r="I579" s="139">
        <f>750+3000</f>
        <v>3750</v>
      </c>
      <c r="J579" s="9"/>
      <c r="K579" s="8"/>
      <c r="L579" s="9"/>
      <c r="M579" s="9"/>
      <c r="N579" s="9"/>
      <c r="O579" s="9"/>
      <c r="P579" s="9"/>
      <c r="Q579" s="18">
        <f t="shared" si="27"/>
        <v>12471.199999999999</v>
      </c>
      <c r="R579" s="18">
        <f t="shared" si="28"/>
        <v>0</v>
      </c>
      <c r="S579" s="18">
        <f t="shared" si="29"/>
        <v>12471.199999999999</v>
      </c>
    </row>
    <row r="580" spans="1:19" x14ac:dyDescent="0.25">
      <c r="A580" s="45" t="s">
        <v>3367</v>
      </c>
      <c r="B580" s="46" t="s">
        <v>3372</v>
      </c>
      <c r="C580" s="46">
        <v>375</v>
      </c>
      <c r="D580" s="32" t="s">
        <v>3377</v>
      </c>
      <c r="E580" s="24" t="s">
        <v>19</v>
      </c>
      <c r="F580" s="49">
        <v>41894</v>
      </c>
      <c r="G580" s="26">
        <f>127.6</f>
        <v>127.6</v>
      </c>
      <c r="H580" s="9"/>
      <c r="I580" s="139"/>
      <c r="J580" s="9"/>
      <c r="K580" s="8"/>
      <c r="L580" s="9"/>
      <c r="M580" s="9"/>
      <c r="N580" s="9"/>
      <c r="O580" s="9"/>
      <c r="P580" s="9"/>
      <c r="Q580" s="18">
        <f t="shared" si="27"/>
        <v>127.6</v>
      </c>
      <c r="R580" s="18">
        <f t="shared" si="28"/>
        <v>0</v>
      </c>
      <c r="S580" s="18">
        <f t="shared" si="29"/>
        <v>127.6</v>
      </c>
    </row>
    <row r="581" spans="1:19" x14ac:dyDescent="0.25">
      <c r="A581" s="45" t="s">
        <v>3368</v>
      </c>
      <c r="B581" s="30" t="s">
        <v>3373</v>
      </c>
      <c r="C581" s="30">
        <v>376</v>
      </c>
      <c r="D581" s="32" t="s">
        <v>3378</v>
      </c>
      <c r="E581" s="9" t="s">
        <v>19</v>
      </c>
      <c r="F581" s="34">
        <v>41889</v>
      </c>
      <c r="G581" s="26">
        <f>47.2</f>
        <v>47.2</v>
      </c>
      <c r="H581" s="9"/>
      <c r="I581" s="139"/>
      <c r="J581" s="9"/>
      <c r="K581" s="8"/>
      <c r="L581" s="9"/>
      <c r="M581" s="9"/>
      <c r="N581" s="9"/>
      <c r="O581" s="9"/>
      <c r="P581" s="9"/>
      <c r="Q581" s="18">
        <f t="shared" si="27"/>
        <v>47.2</v>
      </c>
      <c r="R581" s="18">
        <f t="shared" si="28"/>
        <v>0</v>
      </c>
      <c r="S581" s="18">
        <f t="shared" si="29"/>
        <v>47.2</v>
      </c>
    </row>
    <row r="582" spans="1:19" x14ac:dyDescent="0.25">
      <c r="A582" s="45" t="s">
        <v>3368</v>
      </c>
      <c r="B582" s="30" t="s">
        <v>3373</v>
      </c>
      <c r="C582" s="30">
        <v>376</v>
      </c>
      <c r="D582" s="32" t="s">
        <v>3379</v>
      </c>
      <c r="E582" s="9" t="s">
        <v>19</v>
      </c>
      <c r="F582" s="34">
        <v>41889</v>
      </c>
      <c r="G582" s="26">
        <f>99.24</f>
        <v>99.24</v>
      </c>
      <c r="H582" s="9"/>
      <c r="I582" s="139"/>
      <c r="J582" s="9"/>
      <c r="K582" s="8"/>
      <c r="L582" s="9"/>
      <c r="M582" s="9"/>
      <c r="N582" s="9"/>
      <c r="O582" s="9"/>
      <c r="P582" s="9"/>
      <c r="Q582" s="18">
        <f t="shared" si="27"/>
        <v>99.24</v>
      </c>
      <c r="R582" s="18">
        <f t="shared" si="28"/>
        <v>0</v>
      </c>
      <c r="S582" s="18">
        <f t="shared" si="29"/>
        <v>99.24</v>
      </c>
    </row>
    <row r="583" spans="1:19" x14ac:dyDescent="0.25">
      <c r="A583" s="45" t="s">
        <v>3368</v>
      </c>
      <c r="B583" s="30" t="s">
        <v>3373</v>
      </c>
      <c r="C583" s="30">
        <v>376</v>
      </c>
      <c r="D583" s="32" t="s">
        <v>3380</v>
      </c>
      <c r="E583" s="9" t="s">
        <v>19</v>
      </c>
      <c r="F583" s="34">
        <v>41889</v>
      </c>
      <c r="G583" s="26">
        <f>160.95</f>
        <v>160.94999999999999</v>
      </c>
      <c r="H583" s="9"/>
      <c r="I583" s="139"/>
      <c r="J583" s="9"/>
      <c r="K583" s="8"/>
      <c r="L583" s="9"/>
      <c r="M583" s="9"/>
      <c r="N583" s="9"/>
      <c r="O583" s="9"/>
      <c r="P583" s="9"/>
      <c r="Q583" s="18">
        <f t="shared" si="27"/>
        <v>160.94999999999999</v>
      </c>
      <c r="R583" s="18">
        <f t="shared" si="28"/>
        <v>0</v>
      </c>
      <c r="S583" s="18">
        <f t="shared" si="29"/>
        <v>160.94999999999999</v>
      </c>
    </row>
    <row r="584" spans="1:19" x14ac:dyDescent="0.25">
      <c r="A584" s="45" t="s">
        <v>3369</v>
      </c>
      <c r="B584" s="46" t="s">
        <v>3374</v>
      </c>
      <c r="C584" s="46">
        <v>377</v>
      </c>
      <c r="D584" s="32" t="s">
        <v>3381</v>
      </c>
      <c r="E584" s="24" t="s">
        <v>19</v>
      </c>
      <c r="F584" s="49">
        <v>41896</v>
      </c>
      <c r="G584" s="26">
        <f>5841.41+50.08+41.3+185.36+382.37+80.33+41.3+288.68+41.3+41.3</f>
        <v>6993.43</v>
      </c>
      <c r="H584" s="9"/>
      <c r="I584" s="139">
        <f>2250+750</f>
        <v>3000</v>
      </c>
      <c r="J584" s="9"/>
      <c r="K584" s="8"/>
      <c r="L584" s="9"/>
      <c r="M584" s="9"/>
      <c r="N584" s="9"/>
      <c r="O584" s="9"/>
      <c r="P584" s="9"/>
      <c r="Q584" s="18">
        <f t="shared" si="27"/>
        <v>9993.43</v>
      </c>
      <c r="R584" s="18">
        <f t="shared" si="28"/>
        <v>0</v>
      </c>
      <c r="S584" s="18">
        <f t="shared" si="29"/>
        <v>9993.43</v>
      </c>
    </row>
    <row r="585" spans="1:19" x14ac:dyDescent="0.25">
      <c r="A585" s="45" t="s">
        <v>3370</v>
      </c>
      <c r="B585" s="30" t="s">
        <v>3375</v>
      </c>
      <c r="C585" s="30">
        <v>378</v>
      </c>
      <c r="D585" s="32" t="s">
        <v>3382</v>
      </c>
      <c r="E585" s="9" t="s">
        <v>19</v>
      </c>
      <c r="F585" s="34">
        <v>41896</v>
      </c>
      <c r="G585" s="26">
        <f>284.7+240+326.8</f>
        <v>851.5</v>
      </c>
      <c r="H585" s="9"/>
      <c r="I585" s="139"/>
      <c r="J585" s="9"/>
      <c r="K585" s="8"/>
      <c r="L585" s="9"/>
      <c r="M585" s="9"/>
      <c r="N585" s="9"/>
      <c r="O585" s="9"/>
      <c r="P585" s="9"/>
      <c r="Q585" s="18">
        <f t="shared" si="27"/>
        <v>851.5</v>
      </c>
      <c r="R585" s="18">
        <f t="shared" si="28"/>
        <v>0</v>
      </c>
      <c r="S585" s="18">
        <f t="shared" si="29"/>
        <v>851.5</v>
      </c>
    </row>
    <row r="586" spans="1:19" x14ac:dyDescent="0.25">
      <c r="A586" s="45" t="s">
        <v>3370</v>
      </c>
      <c r="B586" s="30" t="s">
        <v>3375</v>
      </c>
      <c r="C586" s="30">
        <v>378</v>
      </c>
      <c r="D586" s="32" t="s">
        <v>3383</v>
      </c>
      <c r="E586" s="9" t="s">
        <v>19</v>
      </c>
      <c r="F586" s="34">
        <v>41896</v>
      </c>
      <c r="G586" s="26">
        <f>105.6</f>
        <v>105.6</v>
      </c>
      <c r="H586" s="9"/>
      <c r="I586" s="139"/>
      <c r="J586" s="9"/>
      <c r="K586" s="8"/>
      <c r="L586" s="9"/>
      <c r="M586" s="9"/>
      <c r="N586" s="9"/>
      <c r="O586" s="9"/>
      <c r="P586" s="9"/>
      <c r="Q586" s="18">
        <f t="shared" si="27"/>
        <v>105.6</v>
      </c>
      <c r="R586" s="18">
        <f t="shared" si="28"/>
        <v>0</v>
      </c>
      <c r="S586" s="18">
        <f t="shared" si="29"/>
        <v>105.6</v>
      </c>
    </row>
    <row r="587" spans="1:19" x14ac:dyDescent="0.25">
      <c r="A587" s="45" t="s">
        <v>3370</v>
      </c>
      <c r="B587" s="30" t="s">
        <v>3375</v>
      </c>
      <c r="C587" s="30">
        <v>378</v>
      </c>
      <c r="D587" s="32" t="s">
        <v>3384</v>
      </c>
      <c r="E587" s="9" t="s">
        <v>19</v>
      </c>
      <c r="F587" s="34">
        <v>41896</v>
      </c>
      <c r="G587" s="26">
        <f>199.37+240+115.6</f>
        <v>554.97</v>
      </c>
      <c r="H587" s="9"/>
      <c r="I587" s="139"/>
      <c r="J587" s="9"/>
      <c r="K587" s="8"/>
      <c r="L587" s="9"/>
      <c r="M587" s="9"/>
      <c r="N587" s="9"/>
      <c r="O587" s="9"/>
      <c r="P587" s="9"/>
      <c r="Q587" s="18">
        <f t="shared" si="27"/>
        <v>554.97</v>
      </c>
      <c r="R587" s="18">
        <f t="shared" si="28"/>
        <v>0</v>
      </c>
      <c r="S587" s="18">
        <f t="shared" si="29"/>
        <v>554.97</v>
      </c>
    </row>
    <row r="588" spans="1:19" x14ac:dyDescent="0.25">
      <c r="A588" s="45" t="s">
        <v>3370</v>
      </c>
      <c r="B588" s="30" t="s">
        <v>3375</v>
      </c>
      <c r="C588" s="30">
        <v>378</v>
      </c>
      <c r="D588" s="32" t="s">
        <v>3385</v>
      </c>
      <c r="E588" s="9" t="s">
        <v>19</v>
      </c>
      <c r="F588" s="34">
        <v>41896</v>
      </c>
      <c r="G588" s="29">
        <f>71.3</f>
        <v>71.3</v>
      </c>
      <c r="H588" s="9"/>
      <c r="I588" s="139"/>
      <c r="J588" s="9"/>
      <c r="K588" s="8"/>
      <c r="L588" s="9"/>
      <c r="M588" s="9"/>
      <c r="N588" s="9"/>
      <c r="O588" s="9"/>
      <c r="P588" s="9"/>
      <c r="Q588" s="18">
        <f t="shared" si="27"/>
        <v>71.3</v>
      </c>
      <c r="R588" s="18">
        <f t="shared" si="28"/>
        <v>0</v>
      </c>
      <c r="S588" s="18">
        <f t="shared" si="29"/>
        <v>71.3</v>
      </c>
    </row>
    <row r="589" spans="1:19" x14ac:dyDescent="0.25">
      <c r="A589" s="45" t="s">
        <v>3371</v>
      </c>
      <c r="B589" s="30" t="s">
        <v>3376</v>
      </c>
      <c r="C589" s="30">
        <v>379</v>
      </c>
      <c r="D589" s="32" t="s">
        <v>3386</v>
      </c>
      <c r="E589" s="9" t="s">
        <v>19</v>
      </c>
      <c r="F589" s="34">
        <v>41827</v>
      </c>
      <c r="G589" s="29">
        <f>173.2</f>
        <v>173.2</v>
      </c>
      <c r="H589" s="9"/>
      <c r="I589" s="139"/>
      <c r="J589" s="9"/>
      <c r="K589" s="8"/>
      <c r="L589" s="9"/>
      <c r="M589" s="9"/>
      <c r="N589" s="9"/>
      <c r="O589" s="9"/>
      <c r="P589" s="9"/>
      <c r="Q589" s="18">
        <f t="shared" si="27"/>
        <v>173.2</v>
      </c>
      <c r="R589" s="18">
        <f t="shared" si="28"/>
        <v>0</v>
      </c>
      <c r="S589" s="18">
        <f t="shared" si="29"/>
        <v>173.2</v>
      </c>
    </row>
    <row r="590" spans="1:19" x14ac:dyDescent="0.25">
      <c r="A590" s="45" t="s">
        <v>3425</v>
      </c>
      <c r="B590" s="30" t="s">
        <v>3426</v>
      </c>
      <c r="C590" s="30">
        <v>380</v>
      </c>
      <c r="D590" s="32" t="s">
        <v>3427</v>
      </c>
      <c r="E590" s="9" t="s">
        <v>19</v>
      </c>
      <c r="F590" s="58">
        <v>41898</v>
      </c>
      <c r="G590" s="26">
        <f>149.1</f>
        <v>149.1</v>
      </c>
      <c r="H590" s="9"/>
      <c r="I590" s="139"/>
      <c r="J590" s="9"/>
      <c r="K590" s="8"/>
      <c r="L590" s="9"/>
      <c r="M590" s="9"/>
      <c r="N590" s="9"/>
      <c r="O590" s="9"/>
      <c r="P590" s="9"/>
      <c r="Q590" s="18">
        <f t="shared" si="27"/>
        <v>149.1</v>
      </c>
      <c r="R590" s="18">
        <f t="shared" si="28"/>
        <v>0</v>
      </c>
      <c r="S590" s="18">
        <f t="shared" si="29"/>
        <v>149.1</v>
      </c>
    </row>
    <row r="591" spans="1:19" x14ac:dyDescent="0.25">
      <c r="A591" s="45" t="s">
        <v>3428</v>
      </c>
      <c r="B591" s="30" t="s">
        <v>3429</v>
      </c>
      <c r="C591" s="30">
        <v>381</v>
      </c>
      <c r="D591" s="32" t="s">
        <v>3430</v>
      </c>
      <c r="E591" s="9" t="s">
        <v>19</v>
      </c>
      <c r="F591" s="58">
        <v>41898</v>
      </c>
      <c r="G591" s="26"/>
      <c r="H591" s="9"/>
      <c r="I591" s="139"/>
      <c r="J591" s="9"/>
      <c r="K591" s="8"/>
      <c r="L591" s="9"/>
      <c r="M591" s="9"/>
      <c r="N591" s="9"/>
      <c r="O591" s="9"/>
      <c r="P591" s="9"/>
      <c r="Q591" s="18">
        <f t="shared" si="27"/>
        <v>0</v>
      </c>
      <c r="R591" s="18">
        <f t="shared" si="28"/>
        <v>0</v>
      </c>
      <c r="S591" s="18">
        <f t="shared" si="29"/>
        <v>0</v>
      </c>
    </row>
    <row r="592" spans="1:19" x14ac:dyDescent="0.25">
      <c r="A592" s="45" t="s">
        <v>3431</v>
      </c>
      <c r="B592" s="30" t="s">
        <v>3432</v>
      </c>
      <c r="C592" s="30">
        <v>382</v>
      </c>
      <c r="D592" s="32" t="s">
        <v>3433</v>
      </c>
      <c r="E592" s="9" t="s">
        <v>19</v>
      </c>
      <c r="F592" s="58">
        <v>41898</v>
      </c>
      <c r="G592" s="26">
        <f>511.65</f>
        <v>511.65</v>
      </c>
      <c r="H592" s="9"/>
      <c r="I592" s="139"/>
      <c r="J592" s="9"/>
      <c r="K592" s="8"/>
      <c r="L592" s="9"/>
      <c r="M592" s="9"/>
      <c r="N592" s="9"/>
      <c r="O592" s="9"/>
      <c r="P592" s="9"/>
      <c r="Q592" s="18">
        <f t="shared" si="27"/>
        <v>511.65</v>
      </c>
      <c r="R592" s="18">
        <f t="shared" si="28"/>
        <v>0</v>
      </c>
      <c r="S592" s="18">
        <f t="shared" si="29"/>
        <v>511.65</v>
      </c>
    </row>
    <row r="593" spans="1:19" x14ac:dyDescent="0.25">
      <c r="A593" s="45" t="s">
        <v>3434</v>
      </c>
      <c r="B593" s="30" t="s">
        <v>3435</v>
      </c>
      <c r="C593" s="30">
        <v>383</v>
      </c>
      <c r="D593" s="32" t="s">
        <v>3436</v>
      </c>
      <c r="E593" s="9" t="s">
        <v>19</v>
      </c>
      <c r="F593" s="58">
        <v>41899</v>
      </c>
      <c r="G593" s="26"/>
      <c r="H593" s="9"/>
      <c r="I593" s="139"/>
      <c r="J593" s="9"/>
      <c r="K593" s="8"/>
      <c r="L593" s="9"/>
      <c r="M593" s="9"/>
      <c r="N593" s="9"/>
      <c r="O593" s="9"/>
      <c r="P593" s="9"/>
      <c r="Q593" s="18">
        <f t="shared" si="27"/>
        <v>0</v>
      </c>
      <c r="R593" s="18">
        <f t="shared" si="28"/>
        <v>0</v>
      </c>
      <c r="S593" s="18">
        <f t="shared" si="29"/>
        <v>0</v>
      </c>
    </row>
    <row r="594" spans="1:19" x14ac:dyDescent="0.25">
      <c r="A594" s="45" t="s">
        <v>3434</v>
      </c>
      <c r="B594" s="30" t="s">
        <v>3435</v>
      </c>
      <c r="C594" s="30">
        <v>383</v>
      </c>
      <c r="D594" s="32" t="s">
        <v>3440</v>
      </c>
      <c r="E594" s="9" t="s">
        <v>19</v>
      </c>
      <c r="F594" s="58">
        <v>41899</v>
      </c>
      <c r="G594" s="26"/>
      <c r="H594" s="9"/>
      <c r="I594" s="139"/>
      <c r="J594" s="9"/>
      <c r="K594" s="8"/>
      <c r="L594" s="9"/>
      <c r="M594" s="9"/>
      <c r="N594" s="9"/>
      <c r="O594" s="9"/>
      <c r="P594" s="9"/>
      <c r="Q594" s="18">
        <f t="shared" ref="Q594:Q657" si="30">+G594+I594+K594+M594+O594</f>
        <v>0</v>
      </c>
      <c r="R594" s="18">
        <f t="shared" ref="R594:R657" si="31">+H594+J594+L594+N594+P594</f>
        <v>0</v>
      </c>
      <c r="S594" s="18">
        <f t="shared" ref="S594:S657" si="32">+Q594+R594</f>
        <v>0</v>
      </c>
    </row>
    <row r="595" spans="1:19" x14ac:dyDescent="0.25">
      <c r="A595" s="45" t="s">
        <v>3437</v>
      </c>
      <c r="B595" s="30" t="s">
        <v>3438</v>
      </c>
      <c r="C595" s="30">
        <v>384</v>
      </c>
      <c r="D595" s="32" t="s">
        <v>3439</v>
      </c>
      <c r="E595" s="9" t="s">
        <v>19</v>
      </c>
      <c r="F595" s="58">
        <v>41902</v>
      </c>
      <c r="G595" s="26">
        <f>182.57+47.2</f>
        <v>229.76999999999998</v>
      </c>
      <c r="H595" s="9"/>
      <c r="I595" s="139"/>
      <c r="J595" s="9"/>
      <c r="K595" s="8"/>
      <c r="L595" s="9"/>
      <c r="M595" s="9"/>
      <c r="N595" s="9"/>
      <c r="O595" s="9"/>
      <c r="P595" s="9"/>
      <c r="Q595" s="18">
        <f t="shared" si="30"/>
        <v>229.76999999999998</v>
      </c>
      <c r="R595" s="18">
        <f t="shared" si="31"/>
        <v>0</v>
      </c>
      <c r="S595" s="18">
        <f t="shared" si="32"/>
        <v>229.76999999999998</v>
      </c>
    </row>
    <row r="596" spans="1:19" x14ac:dyDescent="0.25">
      <c r="A596" s="45" t="s">
        <v>3441</v>
      </c>
      <c r="B596" s="30" t="s">
        <v>3442</v>
      </c>
      <c r="C596" s="30">
        <v>385</v>
      </c>
      <c r="D596" s="32" t="s">
        <v>3443</v>
      </c>
      <c r="E596" s="9" t="s">
        <v>19</v>
      </c>
      <c r="F596" s="58">
        <v>41904</v>
      </c>
      <c r="G596" s="26">
        <f>2149.7+149.01+1158.76+71.65+71.65+303.46+71.65+71.65+41.3+2280.76+134.43+134.43+125.42</f>
        <v>6763.8700000000017</v>
      </c>
      <c r="H596" s="9"/>
      <c r="I596" s="139">
        <v>3800</v>
      </c>
      <c r="J596" s="9"/>
      <c r="K596" s="8"/>
      <c r="L596" s="9"/>
      <c r="M596" s="9"/>
      <c r="N596" s="9"/>
      <c r="O596" s="9"/>
      <c r="P596" s="9"/>
      <c r="Q596" s="18">
        <f t="shared" si="30"/>
        <v>10563.870000000003</v>
      </c>
      <c r="R596" s="18">
        <f t="shared" si="31"/>
        <v>0</v>
      </c>
      <c r="S596" s="18">
        <f t="shared" si="32"/>
        <v>10563.870000000003</v>
      </c>
    </row>
    <row r="597" spans="1:19" x14ac:dyDescent="0.25">
      <c r="A597" s="45" t="s">
        <v>3444</v>
      </c>
      <c r="B597" s="30" t="s">
        <v>3445</v>
      </c>
      <c r="C597" s="30">
        <v>386</v>
      </c>
      <c r="D597" s="32" t="s">
        <v>3446</v>
      </c>
      <c r="E597" s="9" t="s">
        <v>19</v>
      </c>
      <c r="F597" s="58">
        <v>41905</v>
      </c>
      <c r="G597" s="29">
        <f>558+41.3+41.3+3.39+110.79</f>
        <v>754.77999999999986</v>
      </c>
      <c r="H597" s="9"/>
      <c r="I597" s="139">
        <v>625</v>
      </c>
      <c r="J597" s="9"/>
      <c r="K597" s="8"/>
      <c r="L597" s="9"/>
      <c r="M597" s="9"/>
      <c r="N597" s="9"/>
      <c r="O597" s="9"/>
      <c r="P597" s="9"/>
      <c r="Q597" s="18">
        <f t="shared" si="30"/>
        <v>1379.7799999999997</v>
      </c>
      <c r="R597" s="18">
        <f t="shared" si="31"/>
        <v>0</v>
      </c>
      <c r="S597" s="18">
        <f t="shared" si="32"/>
        <v>1379.7799999999997</v>
      </c>
    </row>
    <row r="598" spans="1:19" x14ac:dyDescent="0.25">
      <c r="A598" s="45" t="s">
        <v>3447</v>
      </c>
      <c r="B598" s="30" t="s">
        <v>3448</v>
      </c>
      <c r="C598" s="30">
        <v>387</v>
      </c>
      <c r="D598" s="32" t="s">
        <v>3449</v>
      </c>
      <c r="E598" s="9" t="s">
        <v>141</v>
      </c>
      <c r="F598" s="58">
        <v>41905</v>
      </c>
      <c r="G598" s="29">
        <f>293.86+488.42</f>
        <v>782.28</v>
      </c>
      <c r="H598" s="9"/>
      <c r="I598" s="139">
        <f>500</f>
        <v>500</v>
      </c>
      <c r="J598" s="9"/>
      <c r="K598" s="8"/>
      <c r="L598" s="9"/>
      <c r="M598" s="9"/>
      <c r="N598" s="9"/>
      <c r="O598" s="9"/>
      <c r="P598" s="9"/>
      <c r="Q598" s="18">
        <f t="shared" si="30"/>
        <v>1282.28</v>
      </c>
      <c r="R598" s="18">
        <f t="shared" si="31"/>
        <v>0</v>
      </c>
      <c r="S598" s="18">
        <f t="shared" si="32"/>
        <v>1282.28</v>
      </c>
    </row>
    <row r="599" spans="1:19" x14ac:dyDescent="0.25">
      <c r="A599" s="45" t="s">
        <v>3450</v>
      </c>
      <c r="B599" s="30" t="s">
        <v>3451</v>
      </c>
      <c r="C599" s="30">
        <v>388</v>
      </c>
      <c r="D599" s="32" t="s">
        <v>3452</v>
      </c>
      <c r="E599" s="9" t="s">
        <v>19</v>
      </c>
      <c r="F599" s="58">
        <v>41905</v>
      </c>
      <c r="G599" s="29">
        <f>83.8</f>
        <v>83.8</v>
      </c>
      <c r="H599" s="9"/>
      <c r="I599" s="139"/>
      <c r="J599" s="9"/>
      <c r="K599" s="8"/>
      <c r="L599" s="9"/>
      <c r="M599" s="9"/>
      <c r="N599" s="9"/>
      <c r="O599" s="9"/>
      <c r="P599" s="9"/>
      <c r="Q599" s="18">
        <f t="shared" si="30"/>
        <v>83.8</v>
      </c>
      <c r="R599" s="18">
        <f t="shared" si="31"/>
        <v>0</v>
      </c>
      <c r="S599" s="18">
        <f t="shared" si="32"/>
        <v>83.8</v>
      </c>
    </row>
    <row r="600" spans="1:19" x14ac:dyDescent="0.25">
      <c r="A600" s="45" t="s">
        <v>3450</v>
      </c>
      <c r="B600" s="30" t="s">
        <v>3451</v>
      </c>
      <c r="C600" s="30">
        <v>388</v>
      </c>
      <c r="D600" s="32" t="s">
        <v>3453</v>
      </c>
      <c r="E600" s="9" t="s">
        <v>19</v>
      </c>
      <c r="F600" s="58">
        <v>41905</v>
      </c>
      <c r="G600" s="29">
        <f>143.2</f>
        <v>143.19999999999999</v>
      </c>
      <c r="H600" s="9"/>
      <c r="I600" s="139"/>
      <c r="J600" s="9"/>
      <c r="K600" s="8"/>
      <c r="L600" s="9"/>
      <c r="M600" s="9"/>
      <c r="N600" s="9"/>
      <c r="O600" s="9"/>
      <c r="P600" s="9"/>
      <c r="Q600" s="18">
        <f t="shared" si="30"/>
        <v>143.19999999999999</v>
      </c>
      <c r="R600" s="18">
        <f t="shared" si="31"/>
        <v>0</v>
      </c>
      <c r="S600" s="18">
        <f t="shared" si="32"/>
        <v>143.19999999999999</v>
      </c>
    </row>
    <row r="601" spans="1:19" x14ac:dyDescent="0.25">
      <c r="A601" s="45" t="s">
        <v>3454</v>
      </c>
      <c r="B601" s="30" t="s">
        <v>3455</v>
      </c>
      <c r="C601" s="30">
        <v>389</v>
      </c>
      <c r="D601" s="32" t="s">
        <v>3456</v>
      </c>
      <c r="E601" s="9" t="s">
        <v>19</v>
      </c>
      <c r="F601" s="58">
        <v>41905</v>
      </c>
      <c r="G601" s="29">
        <f>120+40</f>
        <v>160</v>
      </c>
      <c r="H601" s="9"/>
      <c r="I601" s="139"/>
      <c r="J601" s="9"/>
      <c r="K601" s="8"/>
      <c r="L601" s="9"/>
      <c r="M601" s="9"/>
      <c r="N601" s="9"/>
      <c r="O601" s="9"/>
      <c r="P601" s="9"/>
      <c r="Q601" s="18">
        <f t="shared" si="30"/>
        <v>160</v>
      </c>
      <c r="R601" s="18">
        <f t="shared" si="31"/>
        <v>0</v>
      </c>
      <c r="S601" s="18">
        <f t="shared" si="32"/>
        <v>160</v>
      </c>
    </row>
    <row r="602" spans="1:19" x14ac:dyDescent="0.25">
      <c r="A602" s="45" t="s">
        <v>3457</v>
      </c>
      <c r="B602" s="30" t="s">
        <v>3458</v>
      </c>
      <c r="C602" s="30">
        <v>390</v>
      </c>
      <c r="D602" s="32" t="s">
        <v>3459</v>
      </c>
      <c r="E602" s="9" t="s">
        <v>19</v>
      </c>
      <c r="F602" s="58">
        <v>41906</v>
      </c>
      <c r="G602" s="29">
        <f>127.6</f>
        <v>127.6</v>
      </c>
      <c r="H602" s="9"/>
      <c r="I602" s="139"/>
      <c r="J602" s="9"/>
      <c r="K602" s="8"/>
      <c r="L602" s="9"/>
      <c r="M602" s="9"/>
      <c r="N602" s="9"/>
      <c r="O602" s="9"/>
      <c r="P602" s="9"/>
      <c r="Q602" s="18">
        <f t="shared" si="30"/>
        <v>127.6</v>
      </c>
      <c r="R602" s="18">
        <f t="shared" si="31"/>
        <v>0</v>
      </c>
      <c r="S602" s="18">
        <f t="shared" si="32"/>
        <v>127.6</v>
      </c>
    </row>
    <row r="603" spans="1:19" x14ac:dyDescent="0.25">
      <c r="A603" s="45" t="s">
        <v>3460</v>
      </c>
      <c r="B603" s="30" t="s">
        <v>3461</v>
      </c>
      <c r="C603" s="30">
        <v>391</v>
      </c>
      <c r="D603" s="32" t="s">
        <v>3793</v>
      </c>
      <c r="E603" s="9" t="s">
        <v>19</v>
      </c>
      <c r="F603" s="58">
        <v>41907</v>
      </c>
      <c r="G603" s="29">
        <f>187.5</f>
        <v>187.5</v>
      </c>
      <c r="H603" s="9"/>
      <c r="I603" s="139"/>
      <c r="J603" s="9"/>
      <c r="K603" s="8"/>
      <c r="L603" s="9"/>
      <c r="M603" s="9"/>
      <c r="N603" s="9"/>
      <c r="O603" s="9"/>
      <c r="P603" s="9"/>
      <c r="Q603" s="18">
        <f t="shared" si="30"/>
        <v>187.5</v>
      </c>
      <c r="R603" s="18">
        <f t="shared" si="31"/>
        <v>0</v>
      </c>
      <c r="S603" s="18">
        <f t="shared" si="32"/>
        <v>187.5</v>
      </c>
    </row>
    <row r="604" spans="1:19" x14ac:dyDescent="0.25">
      <c r="A604" s="45" t="s">
        <v>3463</v>
      </c>
      <c r="B604" s="30" t="s">
        <v>1451</v>
      </c>
      <c r="C604" s="30">
        <v>392</v>
      </c>
      <c r="D604" s="32" t="s">
        <v>3464</v>
      </c>
      <c r="E604" s="9" t="s">
        <v>19</v>
      </c>
      <c r="F604" s="58">
        <v>41908</v>
      </c>
      <c r="G604" s="29">
        <f>168.85+121.97+298.8+174.3</f>
        <v>763.92000000000007</v>
      </c>
      <c r="H604" s="9"/>
      <c r="I604" s="139">
        <f>750/30*18</f>
        <v>450</v>
      </c>
      <c r="J604" s="9"/>
      <c r="K604" s="8"/>
      <c r="L604" s="9"/>
      <c r="M604" s="9"/>
      <c r="N604" s="9"/>
      <c r="O604" s="9"/>
      <c r="P604" s="9"/>
      <c r="Q604" s="18">
        <f t="shared" si="30"/>
        <v>1213.92</v>
      </c>
      <c r="R604" s="18">
        <f t="shared" si="31"/>
        <v>0</v>
      </c>
      <c r="S604" s="18">
        <f t="shared" si="32"/>
        <v>1213.92</v>
      </c>
    </row>
    <row r="605" spans="1:19" x14ac:dyDescent="0.25">
      <c r="A605" s="45" t="s">
        <v>3465</v>
      </c>
      <c r="B605" s="30" t="s">
        <v>1660</v>
      </c>
      <c r="C605" s="30">
        <v>393</v>
      </c>
      <c r="D605" s="54" t="s">
        <v>3766</v>
      </c>
      <c r="E605" s="9" t="s">
        <v>19</v>
      </c>
      <c r="F605" s="58">
        <v>41912</v>
      </c>
      <c r="G605" s="29">
        <f>166.64+116.5+197.2+141.57+261.21+41.3+4144.09+2123.31+41.3+103+113.02+1121+113.02+113.02+135.97+135.97+236.6</f>
        <v>9304.7199999999993</v>
      </c>
      <c r="H605" s="9"/>
      <c r="I605" s="139">
        <f>375+3425</f>
        <v>3800</v>
      </c>
      <c r="J605" s="9"/>
      <c r="K605" s="8"/>
      <c r="L605" s="9"/>
      <c r="M605" s="9"/>
      <c r="N605" s="9"/>
      <c r="O605" s="9"/>
      <c r="P605" s="9"/>
      <c r="Q605" s="18">
        <f t="shared" si="30"/>
        <v>13104.72</v>
      </c>
      <c r="R605" s="18">
        <f t="shared" si="31"/>
        <v>0</v>
      </c>
      <c r="S605" s="18">
        <f t="shared" si="32"/>
        <v>13104.72</v>
      </c>
    </row>
    <row r="606" spans="1:19" x14ac:dyDescent="0.25">
      <c r="A606" s="45" t="s">
        <v>3471</v>
      </c>
      <c r="B606" s="30" t="s">
        <v>3472</v>
      </c>
      <c r="C606" s="30">
        <v>394</v>
      </c>
      <c r="D606" s="32" t="s">
        <v>3473</v>
      </c>
      <c r="E606" s="9" t="s">
        <v>19</v>
      </c>
      <c r="F606" s="58">
        <v>41912</v>
      </c>
      <c r="G606" s="29">
        <f>148.09+2743.54+4978.48+498+124.76+302.54+730+990.7+4865.84+47.2+60</f>
        <v>15489.150000000003</v>
      </c>
      <c r="H606" s="9"/>
      <c r="I606" s="139">
        <v>3800</v>
      </c>
      <c r="J606" s="9"/>
      <c r="K606" s="8"/>
      <c r="L606" s="9"/>
      <c r="M606" s="9"/>
      <c r="N606" s="9"/>
      <c r="O606" s="9"/>
      <c r="P606" s="9"/>
      <c r="Q606" s="18">
        <f t="shared" si="30"/>
        <v>19289.150000000001</v>
      </c>
      <c r="R606" s="18">
        <f t="shared" si="31"/>
        <v>0</v>
      </c>
      <c r="S606" s="18">
        <f t="shared" si="32"/>
        <v>19289.150000000001</v>
      </c>
    </row>
    <row r="607" spans="1:19" x14ac:dyDescent="0.25">
      <c r="A607" s="45" t="s">
        <v>3474</v>
      </c>
      <c r="B607" s="30" t="s">
        <v>3475</v>
      </c>
      <c r="C607" s="30">
        <v>395</v>
      </c>
      <c r="D607" s="32" t="s">
        <v>3476</v>
      </c>
      <c r="E607" s="9" t="s">
        <v>19</v>
      </c>
      <c r="F607" s="58">
        <v>41912</v>
      </c>
      <c r="G607" s="29">
        <f>235.5+41.3+125.23+497.9+71.65+41.3+75.99+104.08+104.8+138.77+335+41.3+71.65+140+335</f>
        <v>2359.4699999999998</v>
      </c>
      <c r="H607" s="9"/>
      <c r="I607" s="139">
        <v>3800</v>
      </c>
      <c r="J607" s="9"/>
      <c r="K607" s="8"/>
      <c r="L607" s="9"/>
      <c r="M607" s="9"/>
      <c r="N607" s="9"/>
      <c r="O607" s="9"/>
      <c r="P607" s="9"/>
      <c r="Q607" s="18">
        <f t="shared" si="30"/>
        <v>6159.4699999999993</v>
      </c>
      <c r="R607" s="18">
        <f t="shared" si="31"/>
        <v>0</v>
      </c>
      <c r="S607" s="18">
        <f t="shared" si="32"/>
        <v>6159.4699999999993</v>
      </c>
    </row>
    <row r="608" spans="1:19" x14ac:dyDescent="0.25">
      <c r="A608" s="59" t="s">
        <v>3498</v>
      </c>
      <c r="B608" s="42" t="s">
        <v>3499</v>
      </c>
      <c r="C608" s="42">
        <v>396</v>
      </c>
      <c r="D608" s="10" t="s">
        <v>3500</v>
      </c>
      <c r="E608" s="43" t="s">
        <v>19</v>
      </c>
      <c r="F608" s="60">
        <v>41907</v>
      </c>
      <c r="G608" s="29">
        <f>107.6</f>
        <v>107.6</v>
      </c>
      <c r="H608" s="9"/>
      <c r="I608" s="139"/>
      <c r="J608" s="9"/>
      <c r="K608" s="8"/>
      <c r="L608" s="9"/>
      <c r="M608" s="9"/>
      <c r="N608" s="9"/>
      <c r="O608" s="9"/>
      <c r="P608" s="9"/>
      <c r="Q608" s="18">
        <f t="shared" si="30"/>
        <v>107.6</v>
      </c>
      <c r="R608" s="18">
        <f t="shared" si="31"/>
        <v>0</v>
      </c>
      <c r="S608" s="18">
        <f t="shared" si="32"/>
        <v>107.6</v>
      </c>
    </row>
    <row r="609" spans="1:19" x14ac:dyDescent="0.25">
      <c r="A609" s="45" t="s">
        <v>3477</v>
      </c>
      <c r="B609" s="30" t="s">
        <v>3478</v>
      </c>
      <c r="C609" s="30">
        <v>397</v>
      </c>
      <c r="D609" s="32" t="s">
        <v>3479</v>
      </c>
      <c r="E609" s="9" t="s">
        <v>19</v>
      </c>
      <c r="F609" s="58">
        <v>41908</v>
      </c>
      <c r="G609" s="29">
        <f>211.46</f>
        <v>211.46</v>
      </c>
      <c r="H609" s="9"/>
      <c r="I609" s="139"/>
      <c r="J609" s="9"/>
      <c r="K609" s="8"/>
      <c r="L609" s="9"/>
      <c r="M609" s="9"/>
      <c r="N609" s="9"/>
      <c r="O609" s="9"/>
      <c r="P609" s="9"/>
      <c r="Q609" s="18">
        <f t="shared" si="30"/>
        <v>211.46</v>
      </c>
      <c r="R609" s="18">
        <f t="shared" si="31"/>
        <v>0</v>
      </c>
      <c r="S609" s="18">
        <f t="shared" si="32"/>
        <v>211.46</v>
      </c>
    </row>
    <row r="610" spans="1:19" x14ac:dyDescent="0.25">
      <c r="A610" s="45" t="s">
        <v>3480</v>
      </c>
      <c r="B610" s="30" t="s">
        <v>3481</v>
      </c>
      <c r="C610" s="30">
        <v>398</v>
      </c>
      <c r="D610" s="32" t="s">
        <v>3482</v>
      </c>
      <c r="E610" s="9" t="s">
        <v>19</v>
      </c>
      <c r="F610" s="58">
        <v>41908</v>
      </c>
      <c r="G610" s="29">
        <f>92.81</f>
        <v>92.81</v>
      </c>
      <c r="H610" s="9"/>
      <c r="I610" s="139"/>
      <c r="J610" s="9"/>
      <c r="K610" s="8"/>
      <c r="L610" s="9"/>
      <c r="M610" s="9"/>
      <c r="N610" s="9"/>
      <c r="O610" s="9"/>
      <c r="P610" s="9"/>
      <c r="Q610" s="18">
        <f t="shared" si="30"/>
        <v>92.81</v>
      </c>
      <c r="R610" s="18">
        <f t="shared" si="31"/>
        <v>0</v>
      </c>
      <c r="S610" s="18">
        <f t="shared" si="32"/>
        <v>92.81</v>
      </c>
    </row>
    <row r="611" spans="1:19" x14ac:dyDescent="0.25">
      <c r="A611" s="45" t="s">
        <v>3483</v>
      </c>
      <c r="B611" s="30" t="s">
        <v>3484</v>
      </c>
      <c r="C611" s="30">
        <v>399</v>
      </c>
      <c r="D611" s="32" t="s">
        <v>3485</v>
      </c>
      <c r="E611" s="9" t="s">
        <v>19</v>
      </c>
      <c r="F611" s="58">
        <v>41912</v>
      </c>
      <c r="G611" s="29">
        <f>48</f>
        <v>48</v>
      </c>
      <c r="H611" s="9"/>
      <c r="I611" s="139"/>
      <c r="J611" s="9"/>
      <c r="K611" s="8"/>
      <c r="L611" s="9"/>
      <c r="M611" s="9"/>
      <c r="N611" s="9"/>
      <c r="O611" s="9"/>
      <c r="P611" s="9"/>
      <c r="Q611" s="18">
        <f t="shared" si="30"/>
        <v>48</v>
      </c>
      <c r="R611" s="18">
        <f t="shared" si="31"/>
        <v>0</v>
      </c>
      <c r="S611" s="18">
        <f t="shared" si="32"/>
        <v>48</v>
      </c>
    </row>
    <row r="612" spans="1:19" x14ac:dyDescent="0.25">
      <c r="A612" s="45" t="s">
        <v>3483</v>
      </c>
      <c r="B612" s="30" t="s">
        <v>3484</v>
      </c>
      <c r="C612" s="30">
        <v>399</v>
      </c>
      <c r="D612" s="32" t="s">
        <v>3486</v>
      </c>
      <c r="E612" s="9" t="s">
        <v>19</v>
      </c>
      <c r="F612" s="58">
        <v>41912</v>
      </c>
      <c r="G612" s="29">
        <f>79.2</f>
        <v>79.2</v>
      </c>
      <c r="H612" s="9"/>
      <c r="I612" s="139"/>
      <c r="J612" s="9"/>
      <c r="K612" s="8"/>
      <c r="L612" s="9"/>
      <c r="M612" s="9"/>
      <c r="N612" s="9"/>
      <c r="O612" s="9"/>
      <c r="P612" s="9"/>
      <c r="Q612" s="18">
        <f t="shared" si="30"/>
        <v>79.2</v>
      </c>
      <c r="R612" s="18">
        <f t="shared" si="31"/>
        <v>0</v>
      </c>
      <c r="S612" s="18">
        <f t="shared" si="32"/>
        <v>79.2</v>
      </c>
    </row>
    <row r="613" spans="1:19" x14ac:dyDescent="0.25">
      <c r="A613" s="45" t="s">
        <v>3487</v>
      </c>
      <c r="B613" s="30" t="s">
        <v>3488</v>
      </c>
      <c r="C613" s="30">
        <v>400</v>
      </c>
      <c r="D613" s="10" t="s">
        <v>3489</v>
      </c>
      <c r="E613" s="9" t="s">
        <v>19</v>
      </c>
      <c r="F613" s="58">
        <v>41907</v>
      </c>
      <c r="G613" s="29">
        <f>40</f>
        <v>40</v>
      </c>
      <c r="H613" s="9"/>
      <c r="I613" s="139"/>
      <c r="J613" s="9"/>
      <c r="K613" s="8"/>
      <c r="L613" s="9"/>
      <c r="M613" s="9"/>
      <c r="N613" s="9"/>
      <c r="O613" s="9"/>
      <c r="P613" s="9"/>
      <c r="Q613" s="18">
        <f t="shared" si="30"/>
        <v>40</v>
      </c>
      <c r="R613" s="18">
        <f t="shared" si="31"/>
        <v>0</v>
      </c>
      <c r="S613" s="18">
        <f t="shared" si="32"/>
        <v>40</v>
      </c>
    </row>
    <row r="614" spans="1:19" x14ac:dyDescent="0.25">
      <c r="A614" s="45" t="s">
        <v>3487</v>
      </c>
      <c r="B614" s="30" t="s">
        <v>3488</v>
      </c>
      <c r="C614" s="30">
        <v>400</v>
      </c>
      <c r="D614" s="10" t="s">
        <v>3490</v>
      </c>
      <c r="E614" s="9" t="s">
        <v>19</v>
      </c>
      <c r="F614" s="58">
        <v>41907</v>
      </c>
      <c r="G614" s="29">
        <f>176.6</f>
        <v>176.6</v>
      </c>
      <c r="H614" s="9"/>
      <c r="I614" s="139"/>
      <c r="J614" s="9"/>
      <c r="K614" s="8"/>
      <c r="L614" s="9"/>
      <c r="M614" s="9"/>
      <c r="N614" s="9"/>
      <c r="O614" s="9"/>
      <c r="P614" s="9"/>
      <c r="Q614" s="18">
        <f t="shared" si="30"/>
        <v>176.6</v>
      </c>
      <c r="R614" s="18">
        <f t="shared" si="31"/>
        <v>0</v>
      </c>
      <c r="S614" s="18">
        <f t="shared" si="32"/>
        <v>176.6</v>
      </c>
    </row>
    <row r="615" spans="1:19" x14ac:dyDescent="0.25">
      <c r="A615" s="45" t="s">
        <v>3487</v>
      </c>
      <c r="B615" s="30" t="s">
        <v>3488</v>
      </c>
      <c r="C615" s="30">
        <v>400</v>
      </c>
      <c r="D615" s="10" t="s">
        <v>3491</v>
      </c>
      <c r="E615" s="9" t="s">
        <v>19</v>
      </c>
      <c r="F615" s="58">
        <v>41907</v>
      </c>
      <c r="G615" s="29">
        <f>406.9</f>
        <v>406.9</v>
      </c>
      <c r="H615" s="9"/>
      <c r="I615" s="139"/>
      <c r="J615" s="9"/>
      <c r="K615" s="8"/>
      <c r="L615" s="9"/>
      <c r="M615" s="9"/>
      <c r="N615" s="9"/>
      <c r="O615" s="9"/>
      <c r="P615" s="9"/>
      <c r="Q615" s="18">
        <f t="shared" si="30"/>
        <v>406.9</v>
      </c>
      <c r="R615" s="18">
        <f t="shared" si="31"/>
        <v>0</v>
      </c>
      <c r="S615" s="18">
        <f t="shared" si="32"/>
        <v>406.9</v>
      </c>
    </row>
    <row r="616" spans="1:19" x14ac:dyDescent="0.25">
      <c r="A616" s="45" t="s">
        <v>3492</v>
      </c>
      <c r="B616" s="30" t="s">
        <v>3493</v>
      </c>
      <c r="C616" s="30">
        <v>401</v>
      </c>
      <c r="D616" s="54" t="s">
        <v>5139</v>
      </c>
      <c r="E616" s="9" t="s">
        <v>19</v>
      </c>
      <c r="F616" s="58">
        <v>41907</v>
      </c>
      <c r="G616" s="29">
        <f>118</f>
        <v>118</v>
      </c>
      <c r="H616" s="9"/>
      <c r="I616" s="139"/>
      <c r="J616" s="9"/>
      <c r="K616" s="8"/>
      <c r="L616" s="9"/>
      <c r="M616" s="9"/>
      <c r="N616" s="9"/>
      <c r="O616" s="9"/>
      <c r="P616" s="9"/>
      <c r="Q616" s="18">
        <f t="shared" si="30"/>
        <v>118</v>
      </c>
      <c r="R616" s="18">
        <f t="shared" si="31"/>
        <v>0</v>
      </c>
      <c r="S616" s="18">
        <f t="shared" si="32"/>
        <v>118</v>
      </c>
    </row>
    <row r="617" spans="1:19" x14ac:dyDescent="0.25">
      <c r="A617" s="45" t="s">
        <v>3494</v>
      </c>
      <c r="B617" s="30" t="s">
        <v>34</v>
      </c>
      <c r="C617" s="30">
        <v>402</v>
      </c>
      <c r="D617" s="54" t="s">
        <v>5138</v>
      </c>
      <c r="E617" s="9" t="s">
        <v>19</v>
      </c>
      <c r="F617" s="58">
        <v>41907</v>
      </c>
      <c r="G617" s="29">
        <f>105.3</f>
        <v>105.3</v>
      </c>
      <c r="H617" s="9"/>
      <c r="I617" s="139"/>
      <c r="J617" s="9"/>
      <c r="K617" s="8"/>
      <c r="L617" s="9"/>
      <c r="M617" s="9"/>
      <c r="N617" s="9"/>
      <c r="O617" s="9"/>
      <c r="P617" s="9"/>
      <c r="Q617" s="18">
        <f t="shared" si="30"/>
        <v>105.3</v>
      </c>
      <c r="R617" s="18">
        <f t="shared" si="31"/>
        <v>0</v>
      </c>
      <c r="S617" s="18">
        <f t="shared" si="32"/>
        <v>105.3</v>
      </c>
    </row>
    <row r="618" spans="1:19" x14ac:dyDescent="0.25">
      <c r="A618" s="45" t="s">
        <v>3496</v>
      </c>
      <c r="B618" s="30" t="s">
        <v>3497</v>
      </c>
      <c r="C618" s="30">
        <v>403</v>
      </c>
      <c r="D618" s="32" t="s">
        <v>3495</v>
      </c>
      <c r="E618" s="9" t="s">
        <v>19</v>
      </c>
      <c r="F618" s="58">
        <v>41907</v>
      </c>
      <c r="G618" s="29">
        <f>40+0.5</f>
        <v>40.5</v>
      </c>
      <c r="H618" s="9"/>
      <c r="I618" s="139"/>
      <c r="J618" s="9"/>
      <c r="K618" s="8"/>
      <c r="L618" s="9"/>
      <c r="M618" s="9"/>
      <c r="N618" s="9"/>
      <c r="O618" s="9"/>
      <c r="P618" s="9"/>
      <c r="Q618" s="18">
        <f t="shared" si="30"/>
        <v>40.5</v>
      </c>
      <c r="R618" s="18">
        <f t="shared" si="31"/>
        <v>0</v>
      </c>
      <c r="S618" s="18">
        <f t="shared" si="32"/>
        <v>40.5</v>
      </c>
    </row>
    <row r="619" spans="1:19" x14ac:dyDescent="0.25">
      <c r="A619" s="45" t="s">
        <v>3468</v>
      </c>
      <c r="B619" s="30" t="s">
        <v>3469</v>
      </c>
      <c r="C619" s="30">
        <v>404</v>
      </c>
      <c r="D619" s="32" t="s">
        <v>3470</v>
      </c>
      <c r="E619" s="9" t="s">
        <v>19</v>
      </c>
      <c r="F619" s="58">
        <v>41907</v>
      </c>
      <c r="G619" s="29">
        <f>115</f>
        <v>115</v>
      </c>
      <c r="H619" s="9"/>
      <c r="I619" s="139"/>
      <c r="J619" s="9"/>
      <c r="K619" s="8"/>
      <c r="L619" s="9"/>
      <c r="M619" s="9"/>
      <c r="N619" s="9"/>
      <c r="O619" s="9"/>
      <c r="P619" s="9"/>
      <c r="Q619" s="18">
        <f t="shared" si="30"/>
        <v>115</v>
      </c>
      <c r="R619" s="18">
        <f t="shared" si="31"/>
        <v>0</v>
      </c>
      <c r="S619" s="18">
        <f t="shared" si="32"/>
        <v>115</v>
      </c>
    </row>
    <row r="620" spans="1:19" x14ac:dyDescent="0.25">
      <c r="A620" s="45" t="s">
        <v>3468</v>
      </c>
      <c r="B620" s="30" t="s">
        <v>3469</v>
      </c>
      <c r="C620" s="30">
        <v>404</v>
      </c>
      <c r="D620" s="10" t="s">
        <v>5137</v>
      </c>
      <c r="E620" s="9" t="s">
        <v>19</v>
      </c>
      <c r="F620" s="58">
        <v>41907</v>
      </c>
      <c r="G620" s="29">
        <f>138.4</f>
        <v>138.4</v>
      </c>
      <c r="H620" s="9"/>
      <c r="I620" s="139"/>
      <c r="J620" s="9"/>
      <c r="K620" s="8"/>
      <c r="L620" s="9"/>
      <c r="M620" s="9"/>
      <c r="N620" s="9"/>
      <c r="O620" s="9"/>
      <c r="P620" s="9"/>
      <c r="Q620" s="18">
        <f t="shared" si="30"/>
        <v>138.4</v>
      </c>
      <c r="R620" s="18">
        <f t="shared" si="31"/>
        <v>0</v>
      </c>
      <c r="S620" s="18">
        <f t="shared" si="32"/>
        <v>138.4</v>
      </c>
    </row>
    <row r="621" spans="1:19" x14ac:dyDescent="0.25">
      <c r="A621" s="45" t="s">
        <v>3468</v>
      </c>
      <c r="B621" s="30" t="s">
        <v>3469</v>
      </c>
      <c r="C621" s="30">
        <v>404</v>
      </c>
      <c r="D621" s="10" t="s">
        <v>5136</v>
      </c>
      <c r="E621" s="9" t="s">
        <v>19</v>
      </c>
      <c r="F621" s="58">
        <v>41907</v>
      </c>
      <c r="G621" s="29">
        <f>48</f>
        <v>48</v>
      </c>
      <c r="H621" s="9"/>
      <c r="I621" s="139"/>
      <c r="J621" s="9"/>
      <c r="K621" s="8"/>
      <c r="L621" s="9"/>
      <c r="M621" s="9"/>
      <c r="N621" s="9"/>
      <c r="O621" s="9"/>
      <c r="P621" s="9"/>
      <c r="Q621" s="18">
        <f t="shared" si="30"/>
        <v>48</v>
      </c>
      <c r="R621" s="18">
        <f t="shared" si="31"/>
        <v>0</v>
      </c>
      <c r="S621" s="18">
        <f t="shared" si="32"/>
        <v>48</v>
      </c>
    </row>
    <row r="622" spans="1:19" x14ac:dyDescent="0.25">
      <c r="A622" s="59" t="s">
        <v>3466</v>
      </c>
      <c r="B622" s="42" t="s">
        <v>3467</v>
      </c>
      <c r="C622" s="30">
        <v>405</v>
      </c>
      <c r="D622" s="61" t="s">
        <v>5135</v>
      </c>
      <c r="E622" s="9" t="s">
        <v>19</v>
      </c>
      <c r="F622" s="60">
        <v>41907</v>
      </c>
      <c r="G622" s="29">
        <f>140.3</f>
        <v>140.30000000000001</v>
      </c>
      <c r="H622" s="9"/>
      <c r="I622" s="139"/>
      <c r="J622" s="9"/>
      <c r="K622" s="8"/>
      <c r="L622" s="9"/>
      <c r="M622" s="9"/>
      <c r="N622" s="9"/>
      <c r="O622" s="9"/>
      <c r="P622" s="9"/>
      <c r="Q622" s="18">
        <f t="shared" si="30"/>
        <v>140.30000000000001</v>
      </c>
      <c r="R622" s="18">
        <f t="shared" si="31"/>
        <v>0</v>
      </c>
      <c r="S622" s="18">
        <f t="shared" si="32"/>
        <v>140.30000000000001</v>
      </c>
    </row>
    <row r="623" spans="1:19" x14ac:dyDescent="0.25">
      <c r="A623" s="45" t="s">
        <v>3390</v>
      </c>
      <c r="B623" s="30" t="s">
        <v>3391</v>
      </c>
      <c r="C623" s="30">
        <v>406</v>
      </c>
      <c r="D623" s="54" t="s">
        <v>3392</v>
      </c>
      <c r="E623" s="9" t="s">
        <v>19</v>
      </c>
      <c r="F623" s="34">
        <v>41897</v>
      </c>
      <c r="G623" s="29">
        <f>100</f>
        <v>100</v>
      </c>
      <c r="H623" s="9"/>
      <c r="I623" s="139"/>
      <c r="J623" s="9"/>
      <c r="K623" s="8"/>
      <c r="L623" s="9"/>
      <c r="M623" s="9"/>
      <c r="N623" s="9"/>
      <c r="O623" s="9"/>
      <c r="P623" s="9"/>
      <c r="Q623" s="18">
        <f t="shared" si="30"/>
        <v>100</v>
      </c>
      <c r="R623" s="18">
        <f t="shared" si="31"/>
        <v>0</v>
      </c>
      <c r="S623" s="18">
        <f t="shared" si="32"/>
        <v>100</v>
      </c>
    </row>
    <row r="624" spans="1:19" x14ac:dyDescent="0.25">
      <c r="A624" s="45" t="s">
        <v>3393</v>
      </c>
      <c r="B624" s="30" t="s">
        <v>3394</v>
      </c>
      <c r="C624" s="30">
        <v>407</v>
      </c>
      <c r="D624" s="9" t="s">
        <v>3395</v>
      </c>
      <c r="E624" s="9" t="s">
        <v>19</v>
      </c>
      <c r="F624" s="34">
        <v>41897</v>
      </c>
      <c r="G624" s="29">
        <f>49</f>
        <v>49</v>
      </c>
      <c r="H624" s="9"/>
      <c r="I624" s="139"/>
      <c r="J624" s="9"/>
      <c r="K624" s="8"/>
      <c r="L624" s="9"/>
      <c r="M624" s="9"/>
      <c r="N624" s="9"/>
      <c r="O624" s="9"/>
      <c r="P624" s="9"/>
      <c r="Q624" s="18">
        <f t="shared" si="30"/>
        <v>49</v>
      </c>
      <c r="R624" s="18">
        <f t="shared" si="31"/>
        <v>0</v>
      </c>
      <c r="S624" s="18">
        <f t="shared" si="32"/>
        <v>49</v>
      </c>
    </row>
    <row r="625" spans="1:19" x14ac:dyDescent="0.25">
      <c r="A625" s="45" t="s">
        <v>3396</v>
      </c>
      <c r="B625" s="30" t="s">
        <v>3397</v>
      </c>
      <c r="C625" s="30">
        <v>408</v>
      </c>
      <c r="D625" s="9" t="s">
        <v>3398</v>
      </c>
      <c r="E625" s="9" t="s">
        <v>19</v>
      </c>
      <c r="F625" s="34">
        <v>41897</v>
      </c>
      <c r="G625" s="29">
        <f>130</f>
        <v>130</v>
      </c>
      <c r="H625" s="9"/>
      <c r="I625" s="139"/>
      <c r="J625" s="9"/>
      <c r="K625" s="8"/>
      <c r="L625" s="9"/>
      <c r="M625" s="9"/>
      <c r="N625" s="9"/>
      <c r="O625" s="9"/>
      <c r="P625" s="9"/>
      <c r="Q625" s="18">
        <f t="shared" si="30"/>
        <v>130</v>
      </c>
      <c r="R625" s="18">
        <f t="shared" si="31"/>
        <v>0</v>
      </c>
      <c r="S625" s="18">
        <f t="shared" si="32"/>
        <v>130</v>
      </c>
    </row>
    <row r="626" spans="1:19" x14ac:dyDescent="0.25">
      <c r="A626" s="59" t="s">
        <v>3399</v>
      </c>
      <c r="B626" s="30" t="s">
        <v>3400</v>
      </c>
      <c r="C626" s="30">
        <v>409</v>
      </c>
      <c r="D626" s="9" t="s">
        <v>3401</v>
      </c>
      <c r="E626" s="9" t="s">
        <v>19</v>
      </c>
      <c r="F626" s="34">
        <v>41897</v>
      </c>
      <c r="G626" s="29">
        <f>162.8</f>
        <v>162.80000000000001</v>
      </c>
      <c r="H626" s="9"/>
      <c r="I626" s="139"/>
      <c r="J626" s="9"/>
      <c r="K626" s="8"/>
      <c r="L626" s="9"/>
      <c r="M626" s="9"/>
      <c r="N626" s="9"/>
      <c r="O626" s="9"/>
      <c r="P626" s="9"/>
      <c r="Q626" s="18">
        <f t="shared" si="30"/>
        <v>162.80000000000001</v>
      </c>
      <c r="R626" s="18">
        <f t="shared" si="31"/>
        <v>0</v>
      </c>
      <c r="S626" s="18">
        <f t="shared" si="32"/>
        <v>162.80000000000001</v>
      </c>
    </row>
    <row r="627" spans="1:19" x14ac:dyDescent="0.25">
      <c r="A627" s="45" t="s">
        <v>3402</v>
      </c>
      <c r="B627" s="30" t="s">
        <v>3403</v>
      </c>
      <c r="C627" s="30">
        <v>410</v>
      </c>
      <c r="D627" s="9" t="s">
        <v>3404</v>
      </c>
      <c r="E627" s="9" t="s">
        <v>19</v>
      </c>
      <c r="F627" s="34">
        <v>41897</v>
      </c>
      <c r="G627" s="29">
        <f>105.6</f>
        <v>105.6</v>
      </c>
      <c r="H627" s="9"/>
      <c r="I627" s="139"/>
      <c r="J627" s="9"/>
      <c r="K627" s="8"/>
      <c r="L627" s="9"/>
      <c r="M627" s="9"/>
      <c r="N627" s="9"/>
      <c r="O627" s="9"/>
      <c r="P627" s="9"/>
      <c r="Q627" s="18">
        <f t="shared" si="30"/>
        <v>105.6</v>
      </c>
      <c r="R627" s="18">
        <f t="shared" si="31"/>
        <v>0</v>
      </c>
      <c r="S627" s="18">
        <f t="shared" si="32"/>
        <v>105.6</v>
      </c>
    </row>
    <row r="628" spans="1:19" x14ac:dyDescent="0.25">
      <c r="A628" s="45" t="s">
        <v>3402</v>
      </c>
      <c r="B628" s="30" t="s">
        <v>3403</v>
      </c>
      <c r="C628" s="30">
        <v>410</v>
      </c>
      <c r="D628" s="9" t="s">
        <v>3408</v>
      </c>
      <c r="E628" s="9" t="s">
        <v>19</v>
      </c>
      <c r="F628" s="34">
        <v>41897</v>
      </c>
      <c r="G628" s="29"/>
      <c r="H628" s="9"/>
      <c r="I628" s="139"/>
      <c r="J628" s="9"/>
      <c r="K628" s="8"/>
      <c r="L628" s="9"/>
      <c r="M628" s="9"/>
      <c r="N628" s="9"/>
      <c r="O628" s="9"/>
      <c r="P628" s="9"/>
      <c r="Q628" s="18">
        <f t="shared" si="30"/>
        <v>0</v>
      </c>
      <c r="R628" s="18">
        <f t="shared" si="31"/>
        <v>0</v>
      </c>
      <c r="S628" s="18">
        <f t="shared" si="32"/>
        <v>0</v>
      </c>
    </row>
    <row r="629" spans="1:19" x14ac:dyDescent="0.25">
      <c r="A629" s="45" t="s">
        <v>3405</v>
      </c>
      <c r="B629" s="30" t="s">
        <v>3406</v>
      </c>
      <c r="C629" s="30">
        <v>411</v>
      </c>
      <c r="D629" s="9" t="s">
        <v>3407</v>
      </c>
      <c r="E629" s="9" t="s">
        <v>19</v>
      </c>
      <c r="F629" s="34">
        <v>41897</v>
      </c>
      <c r="G629" s="29">
        <v>198.6</v>
      </c>
      <c r="H629" s="9"/>
      <c r="I629" s="139"/>
      <c r="J629" s="9"/>
      <c r="K629" s="8"/>
      <c r="L629" s="9"/>
      <c r="M629" s="9"/>
      <c r="N629" s="9"/>
      <c r="O629" s="9"/>
      <c r="P629" s="9"/>
      <c r="Q629" s="18">
        <f t="shared" si="30"/>
        <v>198.6</v>
      </c>
      <c r="R629" s="18">
        <f t="shared" si="31"/>
        <v>0</v>
      </c>
      <c r="S629" s="18">
        <f t="shared" si="32"/>
        <v>198.6</v>
      </c>
    </row>
    <row r="630" spans="1:19" x14ac:dyDescent="0.25">
      <c r="A630" s="45" t="s">
        <v>3409</v>
      </c>
      <c r="B630" s="30" t="s">
        <v>3410</v>
      </c>
      <c r="C630" s="30">
        <v>412</v>
      </c>
      <c r="D630" s="9" t="s">
        <v>3411</v>
      </c>
      <c r="E630" s="9" t="s">
        <v>19</v>
      </c>
      <c r="F630" s="34">
        <v>41897</v>
      </c>
      <c r="G630" s="29">
        <f>175.9</f>
        <v>175.9</v>
      </c>
      <c r="H630" s="9"/>
      <c r="I630" s="139"/>
      <c r="J630" s="9"/>
      <c r="K630" s="8"/>
      <c r="L630" s="9"/>
      <c r="M630" s="9"/>
      <c r="N630" s="9"/>
      <c r="O630" s="9"/>
      <c r="P630" s="9"/>
      <c r="Q630" s="18">
        <f t="shared" si="30"/>
        <v>175.9</v>
      </c>
      <c r="R630" s="18">
        <f t="shared" si="31"/>
        <v>0</v>
      </c>
      <c r="S630" s="18">
        <f t="shared" si="32"/>
        <v>175.9</v>
      </c>
    </row>
    <row r="631" spans="1:19" x14ac:dyDescent="0.25">
      <c r="A631" s="45" t="s">
        <v>3412</v>
      </c>
      <c r="B631" s="30" t="s">
        <v>3413</v>
      </c>
      <c r="C631" s="30">
        <v>413</v>
      </c>
      <c r="D631" s="9" t="s">
        <v>3414</v>
      </c>
      <c r="E631" s="9" t="s">
        <v>19</v>
      </c>
      <c r="F631" s="34">
        <v>41897</v>
      </c>
      <c r="G631" s="29">
        <f>40.8</f>
        <v>40.799999999999997</v>
      </c>
      <c r="H631" s="9"/>
      <c r="I631" s="139"/>
      <c r="J631" s="9"/>
      <c r="K631" s="8"/>
      <c r="L631" s="9"/>
      <c r="M631" s="9"/>
      <c r="N631" s="9"/>
      <c r="O631" s="9"/>
      <c r="P631" s="9"/>
      <c r="Q631" s="18">
        <f t="shared" si="30"/>
        <v>40.799999999999997</v>
      </c>
      <c r="R631" s="18">
        <f t="shared" si="31"/>
        <v>0</v>
      </c>
      <c r="S631" s="18">
        <f t="shared" si="32"/>
        <v>40.799999999999997</v>
      </c>
    </row>
    <row r="632" spans="1:19" x14ac:dyDescent="0.25">
      <c r="A632" s="45" t="s">
        <v>3412</v>
      </c>
      <c r="B632" s="30" t="s">
        <v>3413</v>
      </c>
      <c r="C632" s="30">
        <v>413</v>
      </c>
      <c r="D632" s="9" t="s">
        <v>3415</v>
      </c>
      <c r="E632" s="9" t="s">
        <v>19</v>
      </c>
      <c r="F632" s="34">
        <v>41897</v>
      </c>
      <c r="G632" s="29">
        <f>49.5</f>
        <v>49.5</v>
      </c>
      <c r="H632" s="9"/>
      <c r="I632" s="139"/>
      <c r="J632" s="9"/>
      <c r="K632" s="8"/>
      <c r="L632" s="9"/>
      <c r="M632" s="9"/>
      <c r="N632" s="9"/>
      <c r="O632" s="9"/>
      <c r="P632" s="9"/>
      <c r="Q632" s="18">
        <f t="shared" si="30"/>
        <v>49.5</v>
      </c>
      <c r="R632" s="18">
        <f t="shared" si="31"/>
        <v>0</v>
      </c>
      <c r="S632" s="18">
        <f t="shared" si="32"/>
        <v>49.5</v>
      </c>
    </row>
    <row r="633" spans="1:19" x14ac:dyDescent="0.25">
      <c r="A633" s="45" t="s">
        <v>3416</v>
      </c>
      <c r="B633" s="30" t="s">
        <v>3417</v>
      </c>
      <c r="C633" s="30">
        <v>414</v>
      </c>
      <c r="D633" s="9" t="s">
        <v>3418</v>
      </c>
      <c r="E633" s="9" t="s">
        <v>19</v>
      </c>
      <c r="F633" s="34">
        <v>41897</v>
      </c>
      <c r="G633" s="29">
        <f>146.5</f>
        <v>146.5</v>
      </c>
      <c r="H633" s="9"/>
      <c r="I633" s="139"/>
      <c r="J633" s="9"/>
      <c r="K633" s="8"/>
      <c r="L633" s="9"/>
      <c r="M633" s="9"/>
      <c r="N633" s="9"/>
      <c r="O633" s="9"/>
      <c r="P633" s="9"/>
      <c r="Q633" s="18">
        <f t="shared" si="30"/>
        <v>146.5</v>
      </c>
      <c r="R633" s="18">
        <f t="shared" si="31"/>
        <v>0</v>
      </c>
      <c r="S633" s="18">
        <f t="shared" si="32"/>
        <v>146.5</v>
      </c>
    </row>
    <row r="634" spans="1:19" x14ac:dyDescent="0.25">
      <c r="A634" s="45" t="s">
        <v>3419</v>
      </c>
      <c r="B634" s="30" t="s">
        <v>3420</v>
      </c>
      <c r="C634" s="30">
        <v>415</v>
      </c>
      <c r="D634" s="9" t="s">
        <v>3421</v>
      </c>
      <c r="E634" s="9" t="s">
        <v>19</v>
      </c>
      <c r="F634" s="34">
        <v>41897</v>
      </c>
      <c r="G634" s="29">
        <v>190.3</v>
      </c>
      <c r="H634" s="9"/>
      <c r="I634" s="139"/>
      <c r="J634" s="9"/>
      <c r="K634" s="8"/>
      <c r="L634" s="9"/>
      <c r="M634" s="9"/>
      <c r="N634" s="9"/>
      <c r="O634" s="9"/>
      <c r="P634" s="9"/>
      <c r="Q634" s="18">
        <f t="shared" si="30"/>
        <v>190.3</v>
      </c>
      <c r="R634" s="18">
        <f t="shared" si="31"/>
        <v>0</v>
      </c>
      <c r="S634" s="18">
        <f t="shared" si="32"/>
        <v>190.3</v>
      </c>
    </row>
    <row r="635" spans="1:19" x14ac:dyDescent="0.25">
      <c r="A635" s="45" t="s">
        <v>3422</v>
      </c>
      <c r="B635" s="30" t="s">
        <v>3423</v>
      </c>
      <c r="C635" s="30">
        <v>416</v>
      </c>
      <c r="D635" s="9" t="s">
        <v>3424</v>
      </c>
      <c r="E635" s="9" t="s">
        <v>19</v>
      </c>
      <c r="F635" s="34">
        <v>41897</v>
      </c>
      <c r="G635" s="29">
        <f>214</f>
        <v>214</v>
      </c>
      <c r="H635" s="9"/>
      <c r="I635" s="139"/>
      <c r="J635" s="9"/>
      <c r="K635" s="8"/>
      <c r="L635" s="9"/>
      <c r="M635" s="9"/>
      <c r="N635" s="9"/>
      <c r="O635" s="9"/>
      <c r="P635" s="9"/>
      <c r="Q635" s="18">
        <f t="shared" si="30"/>
        <v>214</v>
      </c>
      <c r="R635" s="18">
        <f t="shared" si="31"/>
        <v>0</v>
      </c>
      <c r="S635" s="18">
        <f t="shared" si="32"/>
        <v>214</v>
      </c>
    </row>
    <row r="636" spans="1:19" x14ac:dyDescent="0.25">
      <c r="A636" s="45" t="s">
        <v>3504</v>
      </c>
      <c r="B636" s="30" t="s">
        <v>3505</v>
      </c>
      <c r="C636" s="30">
        <v>417</v>
      </c>
      <c r="D636" s="9" t="s">
        <v>5134</v>
      </c>
      <c r="E636" s="9" t="s">
        <v>19</v>
      </c>
      <c r="F636" s="34">
        <v>41907</v>
      </c>
      <c r="G636" s="29">
        <f>40</f>
        <v>40</v>
      </c>
      <c r="H636" s="9"/>
      <c r="I636" s="139"/>
      <c r="J636" s="9"/>
      <c r="K636" s="8"/>
      <c r="L636" s="9"/>
      <c r="M636" s="9"/>
      <c r="N636" s="9"/>
      <c r="O636" s="9"/>
      <c r="P636" s="9"/>
      <c r="Q636" s="18">
        <f t="shared" si="30"/>
        <v>40</v>
      </c>
      <c r="R636" s="18">
        <f t="shared" si="31"/>
        <v>0</v>
      </c>
      <c r="S636" s="18">
        <f t="shared" si="32"/>
        <v>40</v>
      </c>
    </row>
    <row r="637" spans="1:19" x14ac:dyDescent="0.25">
      <c r="A637" s="45" t="s">
        <v>3504</v>
      </c>
      <c r="B637" s="30" t="s">
        <v>3505</v>
      </c>
      <c r="C637" s="30">
        <v>417</v>
      </c>
      <c r="D637" s="9" t="s">
        <v>3506</v>
      </c>
      <c r="E637" s="9" t="s">
        <v>19</v>
      </c>
      <c r="F637" s="34">
        <v>41907</v>
      </c>
      <c r="G637" s="29">
        <f>40</f>
        <v>40</v>
      </c>
      <c r="H637" s="9"/>
      <c r="I637" s="139"/>
      <c r="J637" s="9"/>
      <c r="K637" s="8"/>
      <c r="L637" s="9"/>
      <c r="M637" s="9"/>
      <c r="N637" s="9"/>
      <c r="O637" s="9"/>
      <c r="P637" s="9"/>
      <c r="Q637" s="18">
        <f t="shared" si="30"/>
        <v>40</v>
      </c>
      <c r="R637" s="18">
        <f t="shared" si="31"/>
        <v>0</v>
      </c>
      <c r="S637" s="18">
        <f t="shared" si="32"/>
        <v>40</v>
      </c>
    </row>
    <row r="638" spans="1:19" x14ac:dyDescent="0.25">
      <c r="A638" s="45" t="s">
        <v>3507</v>
      </c>
      <c r="B638" s="30" t="s">
        <v>3508</v>
      </c>
      <c r="C638" s="30">
        <v>418</v>
      </c>
      <c r="D638" s="9" t="s">
        <v>5133</v>
      </c>
      <c r="E638" s="9" t="s">
        <v>19</v>
      </c>
      <c r="F638" s="34">
        <v>41907</v>
      </c>
      <c r="G638" s="29">
        <f>112.3</f>
        <v>112.3</v>
      </c>
      <c r="H638" s="9"/>
      <c r="I638" s="139"/>
      <c r="J638" s="9"/>
      <c r="K638" s="8"/>
      <c r="L638" s="9"/>
      <c r="M638" s="9"/>
      <c r="N638" s="9"/>
      <c r="O638" s="9"/>
      <c r="P638" s="9"/>
      <c r="Q638" s="18">
        <f t="shared" si="30"/>
        <v>112.3</v>
      </c>
      <c r="R638" s="18">
        <f t="shared" si="31"/>
        <v>0</v>
      </c>
      <c r="S638" s="18">
        <f t="shared" si="32"/>
        <v>112.3</v>
      </c>
    </row>
    <row r="639" spans="1:19" x14ac:dyDescent="0.25">
      <c r="A639" s="45" t="s">
        <v>3509</v>
      </c>
      <c r="B639" s="30" t="s">
        <v>3510</v>
      </c>
      <c r="C639" s="30">
        <v>419</v>
      </c>
      <c r="D639" s="9" t="s">
        <v>3511</v>
      </c>
      <c r="E639" s="9" t="s">
        <v>19</v>
      </c>
      <c r="F639" s="34">
        <v>41907</v>
      </c>
      <c r="G639" s="29">
        <f>132.1</f>
        <v>132.1</v>
      </c>
      <c r="H639" s="9"/>
      <c r="I639" s="139"/>
      <c r="J639" s="9"/>
      <c r="K639" s="8"/>
      <c r="L639" s="9"/>
      <c r="M639" s="9"/>
      <c r="N639" s="9"/>
      <c r="O639" s="9"/>
      <c r="P639" s="9"/>
      <c r="Q639" s="18">
        <f t="shared" si="30"/>
        <v>132.1</v>
      </c>
      <c r="R639" s="18">
        <f t="shared" si="31"/>
        <v>0</v>
      </c>
      <c r="S639" s="18">
        <f t="shared" si="32"/>
        <v>132.1</v>
      </c>
    </row>
    <row r="640" spans="1:19" x14ac:dyDescent="0.25">
      <c r="A640" s="45" t="s">
        <v>3509</v>
      </c>
      <c r="B640" s="30" t="s">
        <v>3510</v>
      </c>
      <c r="C640" s="30">
        <v>419</v>
      </c>
      <c r="D640" s="9" t="s">
        <v>3512</v>
      </c>
      <c r="E640" s="9" t="s">
        <v>19</v>
      </c>
      <c r="F640" s="34">
        <v>41907</v>
      </c>
      <c r="G640" s="29">
        <f>145.6</f>
        <v>145.6</v>
      </c>
      <c r="H640" s="9"/>
      <c r="I640" s="139"/>
      <c r="J640" s="9"/>
      <c r="K640" s="8"/>
      <c r="L640" s="9"/>
      <c r="M640" s="9"/>
      <c r="N640" s="9"/>
      <c r="O640" s="9"/>
      <c r="P640" s="9"/>
      <c r="Q640" s="18">
        <f t="shared" si="30"/>
        <v>145.6</v>
      </c>
      <c r="R640" s="18">
        <f t="shared" si="31"/>
        <v>0</v>
      </c>
      <c r="S640" s="18">
        <f t="shared" si="32"/>
        <v>145.6</v>
      </c>
    </row>
    <row r="641" spans="1:19" x14ac:dyDescent="0.25">
      <c r="A641" s="45" t="s">
        <v>3509</v>
      </c>
      <c r="B641" s="30" t="s">
        <v>3510</v>
      </c>
      <c r="C641" s="30">
        <v>419</v>
      </c>
      <c r="D641" s="9" t="s">
        <v>3513</v>
      </c>
      <c r="E641" s="9" t="s">
        <v>19</v>
      </c>
      <c r="F641" s="34">
        <v>41907</v>
      </c>
      <c r="G641" s="29">
        <f>106.1</f>
        <v>106.1</v>
      </c>
      <c r="H641" s="9"/>
      <c r="I641" s="139"/>
      <c r="J641" s="9"/>
      <c r="K641" s="8"/>
      <c r="L641" s="9"/>
      <c r="M641" s="9"/>
      <c r="N641" s="9"/>
      <c r="O641" s="9"/>
      <c r="P641" s="9"/>
      <c r="Q641" s="18">
        <f t="shared" si="30"/>
        <v>106.1</v>
      </c>
      <c r="R641" s="18">
        <f t="shared" si="31"/>
        <v>0</v>
      </c>
      <c r="S641" s="18">
        <f t="shared" si="32"/>
        <v>106.1</v>
      </c>
    </row>
    <row r="642" spans="1:19" x14ac:dyDescent="0.25">
      <c r="A642" s="45" t="s">
        <v>3514</v>
      </c>
      <c r="B642" s="30" t="s">
        <v>3515</v>
      </c>
      <c r="C642" s="30">
        <v>420</v>
      </c>
      <c r="D642" s="9" t="s">
        <v>3516</v>
      </c>
      <c r="E642" s="9" t="s">
        <v>19</v>
      </c>
      <c r="F642" s="34">
        <v>41907</v>
      </c>
      <c r="G642" s="29">
        <f>414.6</f>
        <v>414.6</v>
      </c>
      <c r="H642" s="9"/>
      <c r="I642" s="139"/>
      <c r="J642" s="9"/>
      <c r="K642" s="8"/>
      <c r="L642" s="9"/>
      <c r="M642" s="9"/>
      <c r="N642" s="9"/>
      <c r="O642" s="9"/>
      <c r="P642" s="9"/>
      <c r="Q642" s="18">
        <f t="shared" si="30"/>
        <v>414.6</v>
      </c>
      <c r="R642" s="18">
        <f t="shared" si="31"/>
        <v>0</v>
      </c>
      <c r="S642" s="18">
        <f t="shared" si="32"/>
        <v>414.6</v>
      </c>
    </row>
    <row r="643" spans="1:19" x14ac:dyDescent="0.25">
      <c r="A643" s="28" t="s">
        <v>3518</v>
      </c>
      <c r="B643" s="30" t="s">
        <v>3519</v>
      </c>
      <c r="C643" s="30">
        <v>421</v>
      </c>
      <c r="D643" s="9" t="s">
        <v>3517</v>
      </c>
      <c r="E643" s="9" t="s">
        <v>19</v>
      </c>
      <c r="F643" s="34">
        <v>41907</v>
      </c>
      <c r="G643" s="29">
        <f>85.9</f>
        <v>85.9</v>
      </c>
      <c r="H643" s="9"/>
      <c r="I643" s="139"/>
      <c r="J643" s="9"/>
      <c r="K643" s="8"/>
      <c r="L643" s="9"/>
      <c r="M643" s="9"/>
      <c r="N643" s="9"/>
      <c r="O643" s="9"/>
      <c r="P643" s="9"/>
      <c r="Q643" s="18">
        <f t="shared" si="30"/>
        <v>85.9</v>
      </c>
      <c r="R643" s="18">
        <f t="shared" si="31"/>
        <v>0</v>
      </c>
      <c r="S643" s="18">
        <f t="shared" si="32"/>
        <v>85.9</v>
      </c>
    </row>
    <row r="644" spans="1:19" x14ac:dyDescent="0.25">
      <c r="A644" s="28" t="s">
        <v>3518</v>
      </c>
      <c r="B644" s="30" t="s">
        <v>3519</v>
      </c>
      <c r="C644" s="30">
        <v>421</v>
      </c>
      <c r="D644" s="9" t="s">
        <v>3832</v>
      </c>
      <c r="E644" s="9" t="s">
        <v>19</v>
      </c>
      <c r="F644" s="34">
        <v>41907</v>
      </c>
      <c r="G644" s="29">
        <f>328</f>
        <v>328</v>
      </c>
      <c r="H644" s="9"/>
      <c r="I644" s="139"/>
      <c r="J644" s="9"/>
      <c r="K644" s="8"/>
      <c r="L644" s="9"/>
      <c r="M644" s="9"/>
      <c r="N644" s="9"/>
      <c r="O644" s="9"/>
      <c r="P644" s="9"/>
      <c r="Q644" s="18">
        <f t="shared" si="30"/>
        <v>328</v>
      </c>
      <c r="R644" s="18">
        <f t="shared" si="31"/>
        <v>0</v>
      </c>
      <c r="S644" s="18">
        <f t="shared" si="32"/>
        <v>328</v>
      </c>
    </row>
    <row r="645" spans="1:19" x14ac:dyDescent="0.25">
      <c r="A645" s="28" t="s">
        <v>3520</v>
      </c>
      <c r="B645" s="30" t="s">
        <v>3521</v>
      </c>
      <c r="C645" s="30">
        <v>422</v>
      </c>
      <c r="D645" s="9" t="s">
        <v>3522</v>
      </c>
      <c r="E645" s="9" t="s">
        <v>19</v>
      </c>
      <c r="F645" s="34">
        <v>41907</v>
      </c>
      <c r="G645" s="29">
        <f>165.9</f>
        <v>165.9</v>
      </c>
      <c r="H645" s="9"/>
      <c r="I645" s="139"/>
      <c r="J645" s="9"/>
      <c r="K645" s="8"/>
      <c r="L645" s="9"/>
      <c r="M645" s="9"/>
      <c r="N645" s="9"/>
      <c r="O645" s="9"/>
      <c r="P645" s="9"/>
      <c r="Q645" s="18">
        <f t="shared" si="30"/>
        <v>165.9</v>
      </c>
      <c r="R645" s="18">
        <f t="shared" si="31"/>
        <v>0</v>
      </c>
      <c r="S645" s="18">
        <f t="shared" si="32"/>
        <v>165.9</v>
      </c>
    </row>
    <row r="646" spans="1:19" x14ac:dyDescent="0.25">
      <c r="A646" s="28" t="s">
        <v>3523</v>
      </c>
      <c r="B646" s="30" t="s">
        <v>3524</v>
      </c>
      <c r="C646" s="30">
        <v>423</v>
      </c>
      <c r="D646" s="9" t="s">
        <v>3525</v>
      </c>
      <c r="E646" s="9" t="s">
        <v>19</v>
      </c>
      <c r="F646" s="34">
        <v>41907</v>
      </c>
      <c r="G646" s="29">
        <f>176.9</f>
        <v>176.9</v>
      </c>
      <c r="H646" s="9"/>
      <c r="I646" s="139"/>
      <c r="J646" s="9"/>
      <c r="K646" s="8"/>
      <c r="L646" s="9"/>
      <c r="M646" s="9"/>
      <c r="N646" s="9"/>
      <c r="O646" s="9"/>
      <c r="P646" s="9"/>
      <c r="Q646" s="18">
        <f t="shared" si="30"/>
        <v>176.9</v>
      </c>
      <c r="R646" s="18">
        <f t="shared" si="31"/>
        <v>0</v>
      </c>
      <c r="S646" s="18">
        <f t="shared" si="32"/>
        <v>176.9</v>
      </c>
    </row>
    <row r="647" spans="1:19" x14ac:dyDescent="0.25">
      <c r="A647" s="28" t="s">
        <v>3527</v>
      </c>
      <c r="B647" s="30" t="s">
        <v>3528</v>
      </c>
      <c r="C647" s="30">
        <v>424</v>
      </c>
      <c r="D647" s="9" t="s">
        <v>3526</v>
      </c>
      <c r="E647" s="9" t="s">
        <v>19</v>
      </c>
      <c r="F647" s="34">
        <v>41907</v>
      </c>
      <c r="G647" s="29">
        <v>131</v>
      </c>
      <c r="H647" s="9"/>
      <c r="I647" s="139"/>
      <c r="J647" s="9"/>
      <c r="K647" s="8"/>
      <c r="L647" s="9"/>
      <c r="M647" s="9"/>
      <c r="N647" s="9"/>
      <c r="O647" s="9"/>
      <c r="P647" s="9"/>
      <c r="Q647" s="18">
        <f t="shared" si="30"/>
        <v>131</v>
      </c>
      <c r="R647" s="18">
        <f t="shared" si="31"/>
        <v>0</v>
      </c>
      <c r="S647" s="18">
        <f t="shared" si="32"/>
        <v>131</v>
      </c>
    </row>
    <row r="648" spans="1:19" x14ac:dyDescent="0.25">
      <c r="A648" s="28" t="s">
        <v>3529</v>
      </c>
      <c r="B648" s="30" t="s">
        <v>3530</v>
      </c>
      <c r="C648" s="30">
        <v>425</v>
      </c>
      <c r="D648" s="9" t="s">
        <v>3531</v>
      </c>
      <c r="E648" s="9" t="s">
        <v>19</v>
      </c>
      <c r="F648" s="34">
        <v>41907</v>
      </c>
      <c r="G648" s="29">
        <f>203</f>
        <v>203</v>
      </c>
      <c r="H648" s="9"/>
      <c r="I648" s="139"/>
      <c r="J648" s="9"/>
      <c r="K648" s="8"/>
      <c r="L648" s="9"/>
      <c r="M648" s="9"/>
      <c r="N648" s="9"/>
      <c r="O648" s="9"/>
      <c r="P648" s="9"/>
      <c r="Q648" s="18">
        <f t="shared" si="30"/>
        <v>203</v>
      </c>
      <c r="R648" s="18">
        <f t="shared" si="31"/>
        <v>0</v>
      </c>
      <c r="S648" s="18">
        <f t="shared" si="32"/>
        <v>203</v>
      </c>
    </row>
    <row r="649" spans="1:19" x14ac:dyDescent="0.25">
      <c r="A649" s="45" t="s">
        <v>3532</v>
      </c>
      <c r="B649" s="30" t="s">
        <v>3533</v>
      </c>
      <c r="C649" s="30">
        <v>426</v>
      </c>
      <c r="D649" s="10" t="s">
        <v>4022</v>
      </c>
      <c r="E649" s="9" t="s">
        <v>19</v>
      </c>
      <c r="F649" s="58">
        <v>41913</v>
      </c>
      <c r="G649" s="29">
        <f>110.79</f>
        <v>110.79</v>
      </c>
      <c r="H649" s="9"/>
      <c r="I649" s="139"/>
      <c r="J649" s="9"/>
      <c r="K649" s="8"/>
      <c r="L649" s="9"/>
      <c r="M649" s="9"/>
      <c r="N649" s="9"/>
      <c r="O649" s="9"/>
      <c r="P649" s="9"/>
      <c r="Q649" s="18">
        <f t="shared" si="30"/>
        <v>110.79</v>
      </c>
      <c r="R649" s="18">
        <f t="shared" si="31"/>
        <v>0</v>
      </c>
      <c r="S649" s="18">
        <f t="shared" si="32"/>
        <v>110.79</v>
      </c>
    </row>
    <row r="650" spans="1:19" x14ac:dyDescent="0.25">
      <c r="A650" s="45" t="s">
        <v>3534</v>
      </c>
      <c r="B650" s="30" t="s">
        <v>3535</v>
      </c>
      <c r="C650" s="30">
        <v>427</v>
      </c>
      <c r="D650" s="10" t="s">
        <v>4023</v>
      </c>
      <c r="E650" s="9" t="s">
        <v>19</v>
      </c>
      <c r="F650" s="58">
        <v>41913</v>
      </c>
      <c r="G650" s="29">
        <v>275.2</v>
      </c>
      <c r="H650" s="9"/>
      <c r="I650" s="139"/>
      <c r="J650" s="9"/>
      <c r="K650" s="8"/>
      <c r="L650" s="9"/>
      <c r="M650" s="9"/>
      <c r="N650" s="9"/>
      <c r="O650" s="9"/>
      <c r="P650" s="9"/>
      <c r="Q650" s="18">
        <f t="shared" si="30"/>
        <v>275.2</v>
      </c>
      <c r="R650" s="18">
        <f t="shared" si="31"/>
        <v>0</v>
      </c>
      <c r="S650" s="18">
        <f t="shared" si="32"/>
        <v>275.2</v>
      </c>
    </row>
    <row r="651" spans="1:19" x14ac:dyDescent="0.25">
      <c r="A651" s="45" t="s">
        <v>3534</v>
      </c>
      <c r="B651" s="30" t="s">
        <v>3535</v>
      </c>
      <c r="C651" s="30">
        <v>427</v>
      </c>
      <c r="D651" s="10" t="s">
        <v>4024</v>
      </c>
      <c r="E651" s="9" t="s">
        <v>19</v>
      </c>
      <c r="F651" s="58">
        <v>41913</v>
      </c>
      <c r="G651" s="29">
        <f>180.61</f>
        <v>180.61</v>
      </c>
      <c r="H651" s="9"/>
      <c r="I651" s="139"/>
      <c r="J651" s="9"/>
      <c r="K651" s="8"/>
      <c r="L651" s="9"/>
      <c r="M651" s="9"/>
      <c r="N651" s="9"/>
      <c r="O651" s="9"/>
      <c r="P651" s="9"/>
      <c r="Q651" s="18">
        <f t="shared" si="30"/>
        <v>180.61</v>
      </c>
      <c r="R651" s="18">
        <f t="shared" si="31"/>
        <v>0</v>
      </c>
      <c r="S651" s="18">
        <f t="shared" si="32"/>
        <v>180.61</v>
      </c>
    </row>
    <row r="652" spans="1:19" x14ac:dyDescent="0.25">
      <c r="A652" s="45" t="s">
        <v>3536</v>
      </c>
      <c r="B652" s="30" t="s">
        <v>3537</v>
      </c>
      <c r="C652" s="30">
        <v>428</v>
      </c>
      <c r="D652" s="10" t="s">
        <v>3538</v>
      </c>
      <c r="E652" s="9" t="s">
        <v>19</v>
      </c>
      <c r="F652" s="58">
        <v>41913</v>
      </c>
      <c r="G652" s="29">
        <f>230.74</f>
        <v>230.74</v>
      </c>
      <c r="H652" s="9"/>
      <c r="I652" s="139"/>
      <c r="J652" s="9"/>
      <c r="K652" s="8"/>
      <c r="L652" s="9"/>
      <c r="M652" s="9"/>
      <c r="N652" s="9"/>
      <c r="O652" s="9"/>
      <c r="P652" s="9"/>
      <c r="Q652" s="18">
        <f t="shared" si="30"/>
        <v>230.74</v>
      </c>
      <c r="R652" s="18">
        <f t="shared" si="31"/>
        <v>0</v>
      </c>
      <c r="S652" s="18">
        <f t="shared" si="32"/>
        <v>230.74</v>
      </c>
    </row>
    <row r="653" spans="1:19" x14ac:dyDescent="0.25">
      <c r="A653" s="45" t="s">
        <v>3539</v>
      </c>
      <c r="B653" s="30" t="s">
        <v>3540</v>
      </c>
      <c r="C653" s="30">
        <v>429</v>
      </c>
      <c r="D653" s="10" t="s">
        <v>4025</v>
      </c>
      <c r="E653" s="9" t="s">
        <v>19</v>
      </c>
      <c r="F653" s="58">
        <v>41913</v>
      </c>
      <c r="G653" s="29">
        <f>189.9</f>
        <v>189.9</v>
      </c>
      <c r="H653" s="9"/>
      <c r="I653" s="139"/>
      <c r="J653" s="9"/>
      <c r="K653" s="8"/>
      <c r="L653" s="9"/>
      <c r="M653" s="9"/>
      <c r="N653" s="9"/>
      <c r="O653" s="9"/>
      <c r="P653" s="9"/>
      <c r="Q653" s="18">
        <f t="shared" si="30"/>
        <v>189.9</v>
      </c>
      <c r="R653" s="18">
        <f t="shared" si="31"/>
        <v>0</v>
      </c>
      <c r="S653" s="18">
        <f t="shared" si="32"/>
        <v>189.9</v>
      </c>
    </row>
    <row r="654" spans="1:19" x14ac:dyDescent="0.25">
      <c r="A654" s="45" t="s">
        <v>3541</v>
      </c>
      <c r="B654" s="30" t="s">
        <v>3542</v>
      </c>
      <c r="C654" s="30">
        <v>430</v>
      </c>
      <c r="D654" s="10" t="s">
        <v>3543</v>
      </c>
      <c r="E654" s="9" t="s">
        <v>19</v>
      </c>
      <c r="F654" s="58">
        <v>41913</v>
      </c>
      <c r="G654" s="29">
        <f>47.2</f>
        <v>47.2</v>
      </c>
      <c r="H654" s="9"/>
      <c r="I654" s="139"/>
      <c r="J654" s="9"/>
      <c r="K654" s="8"/>
      <c r="L654" s="9"/>
      <c r="M654" s="9"/>
      <c r="N654" s="9"/>
      <c r="O654" s="9"/>
      <c r="P654" s="9"/>
      <c r="Q654" s="18">
        <f t="shared" si="30"/>
        <v>47.2</v>
      </c>
      <c r="R654" s="18">
        <f t="shared" si="31"/>
        <v>0</v>
      </c>
      <c r="S654" s="18">
        <f t="shared" si="32"/>
        <v>47.2</v>
      </c>
    </row>
    <row r="655" spans="1:19" x14ac:dyDescent="0.25">
      <c r="A655" s="45" t="s">
        <v>3541</v>
      </c>
      <c r="B655" s="30" t="s">
        <v>3542</v>
      </c>
      <c r="C655" s="30">
        <v>430</v>
      </c>
      <c r="D655" s="10" t="s">
        <v>3544</v>
      </c>
      <c r="E655" s="9" t="s">
        <v>19</v>
      </c>
      <c r="F655" s="58">
        <v>41913</v>
      </c>
      <c r="G655" s="29">
        <f>236.13</f>
        <v>236.13</v>
      </c>
      <c r="H655" s="9"/>
      <c r="I655" s="139"/>
      <c r="J655" s="9"/>
      <c r="K655" s="8"/>
      <c r="L655" s="9"/>
      <c r="M655" s="9"/>
      <c r="N655" s="9"/>
      <c r="O655" s="9"/>
      <c r="P655" s="9"/>
      <c r="Q655" s="18">
        <f t="shared" si="30"/>
        <v>236.13</v>
      </c>
      <c r="R655" s="18">
        <f t="shared" si="31"/>
        <v>0</v>
      </c>
      <c r="S655" s="18">
        <f t="shared" si="32"/>
        <v>236.13</v>
      </c>
    </row>
    <row r="656" spans="1:19" x14ac:dyDescent="0.25">
      <c r="A656" s="45" t="s">
        <v>3545</v>
      </c>
      <c r="B656" s="30" t="s">
        <v>3546</v>
      </c>
      <c r="C656" s="30">
        <v>431</v>
      </c>
      <c r="D656" s="10" t="s">
        <v>3547</v>
      </c>
      <c r="E656" s="9" t="s">
        <v>19</v>
      </c>
      <c r="F656" s="58">
        <v>41914</v>
      </c>
      <c r="G656" s="29">
        <f>558+119.27+241.52+195.06+127.62+135.62+215</f>
        <v>1592.0899999999997</v>
      </c>
      <c r="H656" s="9"/>
      <c r="I656" s="139"/>
      <c r="J656" s="9"/>
      <c r="K656" s="8"/>
      <c r="L656" s="9"/>
      <c r="M656" s="9"/>
      <c r="N656" s="9"/>
      <c r="O656" s="9"/>
      <c r="P656" s="9"/>
      <c r="Q656" s="18">
        <f t="shared" si="30"/>
        <v>1592.0899999999997</v>
      </c>
      <c r="R656" s="18">
        <f t="shared" si="31"/>
        <v>0</v>
      </c>
      <c r="S656" s="18">
        <f t="shared" si="32"/>
        <v>1592.0899999999997</v>
      </c>
    </row>
    <row r="657" spans="1:19" x14ac:dyDescent="0.25">
      <c r="A657" s="45" t="s">
        <v>3548</v>
      </c>
      <c r="B657" s="30" t="s">
        <v>3549</v>
      </c>
      <c r="C657" s="30">
        <v>432</v>
      </c>
      <c r="D657" s="32" t="s">
        <v>4183</v>
      </c>
      <c r="E657" s="9" t="s">
        <v>19</v>
      </c>
      <c r="F657" s="58">
        <v>41914</v>
      </c>
      <c r="G657" s="29">
        <v>301.55</v>
      </c>
      <c r="H657" s="9"/>
      <c r="I657" s="139"/>
      <c r="J657" s="9"/>
      <c r="K657" s="8"/>
      <c r="L657" s="9"/>
      <c r="M657" s="9"/>
      <c r="N657" s="9"/>
      <c r="O657" s="9"/>
      <c r="P657" s="9"/>
      <c r="Q657" s="18">
        <f t="shared" si="30"/>
        <v>301.55</v>
      </c>
      <c r="R657" s="18">
        <f t="shared" si="31"/>
        <v>0</v>
      </c>
      <c r="S657" s="18">
        <f t="shared" si="32"/>
        <v>301.55</v>
      </c>
    </row>
    <row r="658" spans="1:19" x14ac:dyDescent="0.25">
      <c r="A658" s="45" t="s">
        <v>3550</v>
      </c>
      <c r="B658" s="30" t="s">
        <v>3551</v>
      </c>
      <c r="C658" s="30">
        <v>433</v>
      </c>
      <c r="D658" s="10" t="s">
        <v>4182</v>
      </c>
      <c r="E658" s="9" t="s">
        <v>19</v>
      </c>
      <c r="F658" s="58">
        <v>41914</v>
      </c>
      <c r="G658" s="29">
        <f>301.37</f>
        <v>301.37</v>
      </c>
      <c r="H658" s="9"/>
      <c r="I658" s="139"/>
      <c r="J658" s="9"/>
      <c r="K658" s="8"/>
      <c r="L658" s="9"/>
      <c r="M658" s="9"/>
      <c r="N658" s="9"/>
      <c r="O658" s="9"/>
      <c r="P658" s="9"/>
      <c r="Q658" s="18">
        <f t="shared" ref="Q658:Q721" si="33">+G658+I658+K658+M658+O658</f>
        <v>301.37</v>
      </c>
      <c r="R658" s="18">
        <f t="shared" ref="R658:R721" si="34">+H658+J658+L658+N658+P658</f>
        <v>0</v>
      </c>
      <c r="S658" s="18">
        <f t="shared" ref="S658:S721" si="35">+Q658+R658</f>
        <v>301.37</v>
      </c>
    </row>
    <row r="659" spans="1:19" x14ac:dyDescent="0.25">
      <c r="A659" s="45" t="s">
        <v>3552</v>
      </c>
      <c r="B659" s="30" t="s">
        <v>3553</v>
      </c>
      <c r="C659" s="30">
        <v>434</v>
      </c>
      <c r="D659" s="32" t="s">
        <v>4184</v>
      </c>
      <c r="E659" s="9" t="s">
        <v>19</v>
      </c>
      <c r="F659" s="58">
        <v>41914</v>
      </c>
      <c r="G659" s="29">
        <v>92.81</v>
      </c>
      <c r="H659" s="9"/>
      <c r="I659" s="139"/>
      <c r="J659" s="9"/>
      <c r="K659" s="8"/>
      <c r="L659" s="9"/>
      <c r="M659" s="9"/>
      <c r="N659" s="9"/>
      <c r="O659" s="9"/>
      <c r="P659" s="9"/>
      <c r="Q659" s="18">
        <f t="shared" si="33"/>
        <v>92.81</v>
      </c>
      <c r="R659" s="18">
        <f t="shared" si="34"/>
        <v>0</v>
      </c>
      <c r="S659" s="18">
        <f t="shared" si="35"/>
        <v>92.81</v>
      </c>
    </row>
    <row r="660" spans="1:19" x14ac:dyDescent="0.25">
      <c r="A660" s="45" t="s">
        <v>3554</v>
      </c>
      <c r="B660" s="30" t="s">
        <v>469</v>
      </c>
      <c r="C660" s="30">
        <v>435</v>
      </c>
      <c r="D660" s="10" t="s">
        <v>3555</v>
      </c>
      <c r="E660" s="9" t="s">
        <v>19</v>
      </c>
      <c r="F660" s="58">
        <v>41914</v>
      </c>
      <c r="G660" s="29">
        <f>47.2</f>
        <v>47.2</v>
      </c>
      <c r="H660" s="9"/>
      <c r="I660" s="139"/>
      <c r="J660" s="9"/>
      <c r="K660" s="8"/>
      <c r="L660" s="9"/>
      <c r="M660" s="9"/>
      <c r="N660" s="9"/>
      <c r="O660" s="9"/>
      <c r="P660" s="9"/>
      <c r="Q660" s="18">
        <f t="shared" si="33"/>
        <v>47.2</v>
      </c>
      <c r="R660" s="18">
        <f t="shared" si="34"/>
        <v>0</v>
      </c>
      <c r="S660" s="18">
        <f t="shared" si="35"/>
        <v>47.2</v>
      </c>
    </row>
    <row r="661" spans="1:19" x14ac:dyDescent="0.25">
      <c r="A661" s="45" t="s">
        <v>3556</v>
      </c>
      <c r="B661" s="30" t="s">
        <v>3557</v>
      </c>
      <c r="C661" s="30">
        <v>436</v>
      </c>
      <c r="D661" s="32" t="s">
        <v>4185</v>
      </c>
      <c r="E661" s="9" t="s">
        <v>19</v>
      </c>
      <c r="F661" s="58">
        <v>41914</v>
      </c>
      <c r="G661" s="29">
        <f>116.58</f>
        <v>116.58</v>
      </c>
      <c r="H661" s="9"/>
      <c r="I661" s="139"/>
      <c r="J661" s="9"/>
      <c r="K661" s="8"/>
      <c r="L661" s="9"/>
      <c r="M661" s="9"/>
      <c r="N661" s="9"/>
      <c r="O661" s="9"/>
      <c r="P661" s="9"/>
      <c r="Q661" s="18">
        <f t="shared" si="33"/>
        <v>116.58</v>
      </c>
      <c r="R661" s="18">
        <f t="shared" si="34"/>
        <v>0</v>
      </c>
      <c r="S661" s="18">
        <f t="shared" si="35"/>
        <v>116.58</v>
      </c>
    </row>
    <row r="662" spans="1:19" x14ac:dyDescent="0.25">
      <c r="A662" s="45" t="s">
        <v>3558</v>
      </c>
      <c r="B662" s="30" t="s">
        <v>3559</v>
      </c>
      <c r="C662" s="30">
        <v>437</v>
      </c>
      <c r="D662" s="32" t="s">
        <v>4186</v>
      </c>
      <c r="E662" s="9" t="s">
        <v>19</v>
      </c>
      <c r="F662" s="58">
        <v>41914</v>
      </c>
      <c r="G662" s="29">
        <v>217</v>
      </c>
      <c r="H662" s="9"/>
      <c r="I662" s="139"/>
      <c r="J662" s="9"/>
      <c r="K662" s="8"/>
      <c r="L662" s="9"/>
      <c r="M662" s="9"/>
      <c r="N662" s="9"/>
      <c r="O662" s="9"/>
      <c r="P662" s="9"/>
      <c r="Q662" s="18">
        <f t="shared" si="33"/>
        <v>217</v>
      </c>
      <c r="R662" s="18">
        <f t="shared" si="34"/>
        <v>0</v>
      </c>
      <c r="S662" s="18">
        <f t="shared" si="35"/>
        <v>217</v>
      </c>
    </row>
    <row r="663" spans="1:19" x14ac:dyDescent="0.25">
      <c r="A663" s="45" t="s">
        <v>3560</v>
      </c>
      <c r="B663" s="30" t="s">
        <v>3561</v>
      </c>
      <c r="C663" s="30">
        <v>438</v>
      </c>
      <c r="D663" s="10" t="s">
        <v>3562</v>
      </c>
      <c r="E663" s="9" t="s">
        <v>19</v>
      </c>
      <c r="F663" s="58">
        <v>41916</v>
      </c>
      <c r="G663" s="29">
        <f>600+238+12424.5</f>
        <v>13262.5</v>
      </c>
      <c r="H663" s="9"/>
      <c r="I663" s="139">
        <v>1500</v>
      </c>
      <c r="J663" s="9"/>
      <c r="K663" s="8"/>
      <c r="L663" s="9"/>
      <c r="M663" s="9"/>
      <c r="N663" s="9"/>
      <c r="O663" s="9"/>
      <c r="P663" s="9"/>
      <c r="Q663" s="18">
        <f t="shared" si="33"/>
        <v>14762.5</v>
      </c>
      <c r="R663" s="18">
        <f t="shared" si="34"/>
        <v>0</v>
      </c>
      <c r="S663" s="18">
        <f t="shared" si="35"/>
        <v>14762.5</v>
      </c>
    </row>
    <row r="664" spans="1:19" x14ac:dyDescent="0.25">
      <c r="A664" s="45" t="s">
        <v>3563</v>
      </c>
      <c r="B664" s="30" t="s">
        <v>3564</v>
      </c>
      <c r="C664" s="30">
        <v>439</v>
      </c>
      <c r="D664" s="10" t="s">
        <v>3565</v>
      </c>
      <c r="E664" s="9" t="s">
        <v>19</v>
      </c>
      <c r="F664" s="58">
        <v>41918</v>
      </c>
      <c r="G664" s="29">
        <f>580+320.27+511.36+240.34+240+273.04+79.79+79.79+687.41</f>
        <v>3012</v>
      </c>
      <c r="H664" s="9"/>
      <c r="I664" s="139">
        <f>925+750+750</f>
        <v>2425</v>
      </c>
      <c r="J664" s="9"/>
      <c r="K664" s="8"/>
      <c r="L664" s="9"/>
      <c r="M664" s="9"/>
      <c r="N664" s="9"/>
      <c r="O664" s="9"/>
      <c r="P664" s="9"/>
      <c r="Q664" s="18">
        <f t="shared" si="33"/>
        <v>5437</v>
      </c>
      <c r="R664" s="18">
        <f t="shared" si="34"/>
        <v>0</v>
      </c>
      <c r="S664" s="18">
        <f t="shared" si="35"/>
        <v>5437</v>
      </c>
    </row>
    <row r="665" spans="1:19" x14ac:dyDescent="0.25">
      <c r="A665" s="45" t="s">
        <v>3566</v>
      </c>
      <c r="B665" s="30" t="s">
        <v>3567</v>
      </c>
      <c r="C665" s="30">
        <v>440</v>
      </c>
      <c r="D665" s="10" t="s">
        <v>3568</v>
      </c>
      <c r="E665" s="9" t="s">
        <v>19</v>
      </c>
      <c r="F665" s="58">
        <v>41918</v>
      </c>
      <c r="G665" s="29">
        <f>110.65</f>
        <v>110.65</v>
      </c>
      <c r="H665" s="9"/>
      <c r="I665" s="139"/>
      <c r="J665" s="9"/>
      <c r="K665" s="8"/>
      <c r="L665" s="9"/>
      <c r="M665" s="9"/>
      <c r="N665" s="9"/>
      <c r="O665" s="9"/>
      <c r="P665" s="9"/>
      <c r="Q665" s="18">
        <f t="shared" si="33"/>
        <v>110.65</v>
      </c>
      <c r="R665" s="18">
        <f t="shared" si="34"/>
        <v>0</v>
      </c>
      <c r="S665" s="18">
        <f t="shared" si="35"/>
        <v>110.65</v>
      </c>
    </row>
    <row r="666" spans="1:19" x14ac:dyDescent="0.25">
      <c r="A666" s="45" t="s">
        <v>3569</v>
      </c>
      <c r="B666" s="30" t="s">
        <v>3570</v>
      </c>
      <c r="C666" s="30">
        <v>441</v>
      </c>
      <c r="D666" s="10" t="s">
        <v>3571</v>
      </c>
      <c r="E666" s="9" t="s">
        <v>19</v>
      </c>
      <c r="F666" s="60">
        <v>41916</v>
      </c>
      <c r="G666" s="29">
        <f>480+47.2+548.55+558+190+112.8+224.2+44.25</f>
        <v>2205</v>
      </c>
      <c r="H666" s="9"/>
      <c r="I666" s="139">
        <v>750</v>
      </c>
      <c r="J666" s="9"/>
      <c r="K666" s="8"/>
      <c r="L666" s="9"/>
      <c r="M666" s="9"/>
      <c r="N666" s="9"/>
      <c r="O666" s="9"/>
      <c r="P666" s="9"/>
      <c r="Q666" s="18">
        <f t="shared" si="33"/>
        <v>2955</v>
      </c>
      <c r="R666" s="18">
        <f t="shared" si="34"/>
        <v>0</v>
      </c>
      <c r="S666" s="18">
        <f t="shared" si="35"/>
        <v>2955</v>
      </c>
    </row>
    <row r="667" spans="1:19" x14ac:dyDescent="0.25">
      <c r="A667" s="45" t="s">
        <v>3572</v>
      </c>
      <c r="B667" s="30" t="s">
        <v>3573</v>
      </c>
      <c r="C667" s="30">
        <v>442</v>
      </c>
      <c r="D667" s="10" t="s">
        <v>3574</v>
      </c>
      <c r="E667" s="9" t="s">
        <v>19</v>
      </c>
      <c r="F667" s="60">
        <v>41914</v>
      </c>
      <c r="G667" s="29">
        <f>179.4+83.8</f>
        <v>263.2</v>
      </c>
      <c r="H667" s="9"/>
      <c r="I667" s="139"/>
      <c r="J667" s="9"/>
      <c r="K667" s="8"/>
      <c r="L667" s="9"/>
      <c r="M667" s="9"/>
      <c r="N667" s="9"/>
      <c r="O667" s="9"/>
      <c r="P667" s="9"/>
      <c r="Q667" s="18">
        <f t="shared" si="33"/>
        <v>263.2</v>
      </c>
      <c r="R667" s="18">
        <f t="shared" si="34"/>
        <v>0</v>
      </c>
      <c r="S667" s="18">
        <f t="shared" si="35"/>
        <v>263.2</v>
      </c>
    </row>
    <row r="668" spans="1:19" x14ac:dyDescent="0.25">
      <c r="A668" s="45" t="s">
        <v>3572</v>
      </c>
      <c r="B668" s="30" t="s">
        <v>3573</v>
      </c>
      <c r="C668" s="30">
        <v>442</v>
      </c>
      <c r="D668" s="10" t="s">
        <v>3575</v>
      </c>
      <c r="E668" s="9" t="s">
        <v>19</v>
      </c>
      <c r="F668" s="58">
        <v>41914</v>
      </c>
      <c r="G668" s="29">
        <f>151.3</f>
        <v>151.30000000000001</v>
      </c>
      <c r="H668" s="9"/>
      <c r="I668" s="139"/>
      <c r="J668" s="9"/>
      <c r="K668" s="8"/>
      <c r="L668" s="9"/>
      <c r="M668" s="9"/>
      <c r="N668" s="9"/>
      <c r="O668" s="9"/>
      <c r="P668" s="9"/>
      <c r="Q668" s="18">
        <f t="shared" si="33"/>
        <v>151.30000000000001</v>
      </c>
      <c r="R668" s="18">
        <f t="shared" si="34"/>
        <v>0</v>
      </c>
      <c r="S668" s="18">
        <f t="shared" si="35"/>
        <v>151.30000000000001</v>
      </c>
    </row>
    <row r="669" spans="1:19" x14ac:dyDescent="0.25">
      <c r="A669" s="45" t="s">
        <v>3576</v>
      </c>
      <c r="B669" s="30" t="s">
        <v>3577</v>
      </c>
      <c r="C669" s="30">
        <v>433</v>
      </c>
      <c r="D669" s="10" t="s">
        <v>3578</v>
      </c>
      <c r="E669" s="9" t="s">
        <v>19</v>
      </c>
      <c r="F669" s="60">
        <v>41918</v>
      </c>
      <c r="G669" s="29">
        <f>58.78+48.6+246.99</f>
        <v>354.37</v>
      </c>
      <c r="H669" s="9"/>
      <c r="I669" s="139">
        <v>970.99</v>
      </c>
      <c r="J669" s="9"/>
      <c r="K669" s="8"/>
      <c r="L669" s="9"/>
      <c r="M669" s="9"/>
      <c r="N669" s="9"/>
      <c r="O669" s="9"/>
      <c r="P669" s="9"/>
      <c r="Q669" s="18">
        <f t="shared" si="33"/>
        <v>1325.3600000000001</v>
      </c>
      <c r="R669" s="18">
        <f t="shared" si="34"/>
        <v>0</v>
      </c>
      <c r="S669" s="18">
        <f t="shared" si="35"/>
        <v>1325.3600000000001</v>
      </c>
    </row>
    <row r="670" spans="1:19" x14ac:dyDescent="0.25">
      <c r="A670" s="45" t="s">
        <v>3579</v>
      </c>
      <c r="B670" s="30" t="s">
        <v>3580</v>
      </c>
      <c r="C670" s="30">
        <v>444</v>
      </c>
      <c r="D670" s="10" t="s">
        <v>3581</v>
      </c>
      <c r="E670" s="9" t="s">
        <v>19</v>
      </c>
      <c r="F670" s="58">
        <v>41919</v>
      </c>
      <c r="G670" s="29">
        <f>172.52</f>
        <v>172.52</v>
      </c>
      <c r="H670" s="9"/>
      <c r="I670" s="139"/>
      <c r="J670" s="9"/>
      <c r="K670" s="8"/>
      <c r="L670" s="9"/>
      <c r="M670" s="9"/>
      <c r="N670" s="9"/>
      <c r="O670" s="9"/>
      <c r="P670" s="9"/>
      <c r="Q670" s="18">
        <f t="shared" si="33"/>
        <v>172.52</v>
      </c>
      <c r="R670" s="18">
        <f t="shared" si="34"/>
        <v>0</v>
      </c>
      <c r="S670" s="18">
        <f t="shared" si="35"/>
        <v>172.52</v>
      </c>
    </row>
    <row r="671" spans="1:19" x14ac:dyDescent="0.25">
      <c r="A671" s="45" t="s">
        <v>3579</v>
      </c>
      <c r="B671" s="30" t="s">
        <v>3580</v>
      </c>
      <c r="C671" s="30">
        <v>444</v>
      </c>
      <c r="D671" s="10" t="s">
        <v>3582</v>
      </c>
      <c r="E671" s="9" t="s">
        <v>19</v>
      </c>
      <c r="F671" s="58">
        <v>41919</v>
      </c>
      <c r="G671" s="29">
        <v>119.18</v>
      </c>
      <c r="H671" s="9"/>
      <c r="I671" s="139"/>
      <c r="J671" s="9"/>
      <c r="K671" s="8"/>
      <c r="L671" s="9"/>
      <c r="M671" s="9"/>
      <c r="N671" s="9"/>
      <c r="O671" s="9"/>
      <c r="P671" s="9"/>
      <c r="Q671" s="18">
        <f t="shared" si="33"/>
        <v>119.18</v>
      </c>
      <c r="R671" s="18">
        <f t="shared" si="34"/>
        <v>0</v>
      </c>
      <c r="S671" s="18">
        <f t="shared" si="35"/>
        <v>119.18</v>
      </c>
    </row>
    <row r="672" spans="1:19" x14ac:dyDescent="0.25">
      <c r="A672" s="45" t="s">
        <v>3579</v>
      </c>
      <c r="B672" s="30" t="s">
        <v>3580</v>
      </c>
      <c r="C672" s="30">
        <v>444</v>
      </c>
      <c r="D672" s="10" t="s">
        <v>3583</v>
      </c>
      <c r="E672" s="9" t="s">
        <v>19</v>
      </c>
      <c r="F672" s="58">
        <v>41919</v>
      </c>
      <c r="G672" s="29">
        <f>83.78</f>
        <v>83.78</v>
      </c>
      <c r="H672" s="9"/>
      <c r="I672" s="139"/>
      <c r="J672" s="9"/>
      <c r="K672" s="8"/>
      <c r="L672" s="9"/>
      <c r="M672" s="9"/>
      <c r="N672" s="9"/>
      <c r="O672" s="9"/>
      <c r="P672" s="9"/>
      <c r="Q672" s="18">
        <f t="shared" si="33"/>
        <v>83.78</v>
      </c>
      <c r="R672" s="18">
        <f t="shared" si="34"/>
        <v>0</v>
      </c>
      <c r="S672" s="18">
        <f t="shared" si="35"/>
        <v>83.78</v>
      </c>
    </row>
    <row r="673" spans="1:19" x14ac:dyDescent="0.25">
      <c r="A673" s="59" t="s">
        <v>3584</v>
      </c>
      <c r="B673" s="42" t="s">
        <v>3585</v>
      </c>
      <c r="C673" s="30">
        <v>445</v>
      </c>
      <c r="D673" s="10" t="s">
        <v>3586</v>
      </c>
      <c r="E673" s="9" t="s">
        <v>19</v>
      </c>
      <c r="F673" s="60">
        <v>41919</v>
      </c>
      <c r="G673" s="29">
        <f>129.8</f>
        <v>129.80000000000001</v>
      </c>
      <c r="H673" s="9"/>
      <c r="I673" s="139"/>
      <c r="J673" s="9"/>
      <c r="K673" s="8"/>
      <c r="L673" s="9"/>
      <c r="M673" s="9"/>
      <c r="N673" s="9"/>
      <c r="O673" s="9"/>
      <c r="P673" s="9"/>
      <c r="Q673" s="18">
        <f t="shared" si="33"/>
        <v>129.80000000000001</v>
      </c>
      <c r="R673" s="18">
        <f t="shared" si="34"/>
        <v>0</v>
      </c>
      <c r="S673" s="18">
        <f t="shared" si="35"/>
        <v>129.80000000000001</v>
      </c>
    </row>
    <row r="674" spans="1:19" x14ac:dyDescent="0.25">
      <c r="A674" s="59" t="s">
        <v>3587</v>
      </c>
      <c r="B674" s="42" t="s">
        <v>3588</v>
      </c>
      <c r="C674" s="30">
        <v>446</v>
      </c>
      <c r="D674" s="10" t="s">
        <v>3589</v>
      </c>
      <c r="E674" s="9" t="s">
        <v>19</v>
      </c>
      <c r="F674" s="60">
        <v>41919</v>
      </c>
      <c r="G674" s="29">
        <f>180.25</f>
        <v>180.25</v>
      </c>
      <c r="H674" s="9"/>
      <c r="I674" s="139"/>
      <c r="J674" s="9"/>
      <c r="K674" s="8"/>
      <c r="L674" s="9"/>
      <c r="M674" s="9"/>
      <c r="N674" s="9"/>
      <c r="O674" s="9"/>
      <c r="P674" s="9"/>
      <c r="Q674" s="18">
        <f t="shared" si="33"/>
        <v>180.25</v>
      </c>
      <c r="R674" s="18">
        <f t="shared" si="34"/>
        <v>0</v>
      </c>
      <c r="S674" s="18">
        <f t="shared" si="35"/>
        <v>180.25</v>
      </c>
    </row>
    <row r="675" spans="1:19" x14ac:dyDescent="0.25">
      <c r="A675" s="45" t="s">
        <v>3590</v>
      </c>
      <c r="B675" s="30" t="s">
        <v>3591</v>
      </c>
      <c r="C675" s="30">
        <v>447</v>
      </c>
      <c r="D675" s="10" t="s">
        <v>3592</v>
      </c>
      <c r="E675" s="9" t="s">
        <v>19</v>
      </c>
      <c r="F675" s="58">
        <v>41919</v>
      </c>
      <c r="G675" s="29">
        <f>266.16+217</f>
        <v>483.16</v>
      </c>
      <c r="H675" s="9"/>
      <c r="I675" s="139"/>
      <c r="J675" s="9"/>
      <c r="K675" s="8"/>
      <c r="L675" s="9"/>
      <c r="M675" s="9"/>
      <c r="N675" s="9"/>
      <c r="O675" s="9"/>
      <c r="P675" s="9"/>
      <c r="Q675" s="18">
        <f t="shared" si="33"/>
        <v>483.16</v>
      </c>
      <c r="R675" s="18">
        <f t="shared" si="34"/>
        <v>0</v>
      </c>
      <c r="S675" s="18">
        <f t="shared" si="35"/>
        <v>483.16</v>
      </c>
    </row>
    <row r="676" spans="1:19" x14ac:dyDescent="0.25">
      <c r="A676" s="45" t="s">
        <v>3593</v>
      </c>
      <c r="B676" s="30" t="s">
        <v>3594</v>
      </c>
      <c r="C676" s="30">
        <v>448</v>
      </c>
      <c r="D676" s="10" t="s">
        <v>3595</v>
      </c>
      <c r="E676" s="9" t="s">
        <v>19</v>
      </c>
      <c r="F676" s="58">
        <v>41922</v>
      </c>
      <c r="G676" s="29">
        <f>234.3</f>
        <v>234.3</v>
      </c>
      <c r="H676" s="9"/>
      <c r="I676" s="139"/>
      <c r="J676" s="9"/>
      <c r="K676" s="8"/>
      <c r="L676" s="9"/>
      <c r="M676" s="9"/>
      <c r="N676" s="9"/>
      <c r="O676" s="9"/>
      <c r="P676" s="9"/>
      <c r="Q676" s="18">
        <f t="shared" si="33"/>
        <v>234.3</v>
      </c>
      <c r="R676" s="18">
        <f t="shared" si="34"/>
        <v>0</v>
      </c>
      <c r="S676" s="18">
        <f t="shared" si="35"/>
        <v>234.3</v>
      </c>
    </row>
    <row r="677" spans="1:19" x14ac:dyDescent="0.25">
      <c r="A677" s="45" t="s">
        <v>3596</v>
      </c>
      <c r="B677" s="30" t="s">
        <v>3597</v>
      </c>
      <c r="C677" s="30">
        <v>449</v>
      </c>
      <c r="D677" s="10" t="s">
        <v>3598</v>
      </c>
      <c r="E677" s="9" t="s">
        <v>19</v>
      </c>
      <c r="F677" s="58">
        <v>41922</v>
      </c>
      <c r="G677" s="29">
        <f>48.8</f>
        <v>48.8</v>
      </c>
      <c r="H677" s="9"/>
      <c r="I677" s="139"/>
      <c r="J677" s="9"/>
      <c r="K677" s="8"/>
      <c r="L677" s="9"/>
      <c r="M677" s="9"/>
      <c r="N677" s="9"/>
      <c r="O677" s="9"/>
      <c r="P677" s="9"/>
      <c r="Q677" s="18">
        <f t="shared" si="33"/>
        <v>48.8</v>
      </c>
      <c r="R677" s="18">
        <f t="shared" si="34"/>
        <v>0</v>
      </c>
      <c r="S677" s="18">
        <f t="shared" si="35"/>
        <v>48.8</v>
      </c>
    </row>
    <row r="678" spans="1:19" x14ac:dyDescent="0.25">
      <c r="A678" s="45" t="s">
        <v>3596</v>
      </c>
      <c r="B678" s="30" t="s">
        <v>3597</v>
      </c>
      <c r="C678" s="30">
        <v>449</v>
      </c>
      <c r="D678" s="10" t="s">
        <v>3599</v>
      </c>
      <c r="E678" s="9" t="s">
        <v>19</v>
      </c>
      <c r="F678" s="58">
        <v>41922</v>
      </c>
      <c r="G678" s="29">
        <f>113.5</f>
        <v>113.5</v>
      </c>
      <c r="H678" s="9"/>
      <c r="I678" s="139"/>
      <c r="J678" s="9"/>
      <c r="K678" s="8"/>
      <c r="L678" s="9"/>
      <c r="M678" s="9"/>
      <c r="N678" s="9"/>
      <c r="O678" s="9"/>
      <c r="P678" s="9"/>
      <c r="Q678" s="18">
        <f t="shared" si="33"/>
        <v>113.5</v>
      </c>
      <c r="R678" s="18">
        <f t="shared" si="34"/>
        <v>0</v>
      </c>
      <c r="S678" s="18">
        <f t="shared" si="35"/>
        <v>113.5</v>
      </c>
    </row>
    <row r="679" spans="1:19" x14ac:dyDescent="0.25">
      <c r="A679" s="45" t="s">
        <v>3596</v>
      </c>
      <c r="B679" s="30" t="s">
        <v>3597</v>
      </c>
      <c r="C679" s="30">
        <v>449</v>
      </c>
      <c r="D679" s="10" t="s">
        <v>3600</v>
      </c>
      <c r="E679" s="9" t="s">
        <v>19</v>
      </c>
      <c r="F679" s="58">
        <v>41922</v>
      </c>
      <c r="G679" s="29"/>
      <c r="H679" s="9"/>
      <c r="I679" s="139"/>
      <c r="J679" s="9"/>
      <c r="K679" s="8"/>
      <c r="L679" s="9"/>
      <c r="M679" s="9"/>
      <c r="N679" s="9"/>
      <c r="O679" s="9"/>
      <c r="P679" s="9"/>
      <c r="Q679" s="18">
        <f t="shared" si="33"/>
        <v>0</v>
      </c>
      <c r="R679" s="18">
        <f t="shared" si="34"/>
        <v>0</v>
      </c>
      <c r="S679" s="18">
        <f t="shared" si="35"/>
        <v>0</v>
      </c>
    </row>
    <row r="680" spans="1:19" x14ac:dyDescent="0.25">
      <c r="A680" s="45" t="s">
        <v>3601</v>
      </c>
      <c r="B680" s="30" t="s">
        <v>3064</v>
      </c>
      <c r="C680" s="30">
        <v>450</v>
      </c>
      <c r="D680" s="10" t="s">
        <v>3602</v>
      </c>
      <c r="E680" s="9" t="s">
        <v>19</v>
      </c>
      <c r="F680" s="58">
        <v>41922</v>
      </c>
      <c r="G680" s="29">
        <f>818+128.7</f>
        <v>946.7</v>
      </c>
      <c r="H680" s="9"/>
      <c r="I680" s="139"/>
      <c r="J680" s="9"/>
      <c r="K680" s="8"/>
      <c r="L680" s="9"/>
      <c r="M680" s="9"/>
      <c r="N680" s="9"/>
      <c r="O680" s="9"/>
      <c r="P680" s="9"/>
      <c r="Q680" s="18">
        <f t="shared" si="33"/>
        <v>946.7</v>
      </c>
      <c r="R680" s="18">
        <f t="shared" si="34"/>
        <v>0</v>
      </c>
      <c r="S680" s="18">
        <f t="shared" si="35"/>
        <v>946.7</v>
      </c>
    </row>
    <row r="681" spans="1:19" x14ac:dyDescent="0.25">
      <c r="A681" s="45" t="s">
        <v>3603</v>
      </c>
      <c r="B681" s="30" t="s">
        <v>3604</v>
      </c>
      <c r="C681" s="30">
        <v>451</v>
      </c>
      <c r="D681" s="10" t="s">
        <v>3605</v>
      </c>
      <c r="E681" s="9" t="s">
        <v>19</v>
      </c>
      <c r="F681" s="58">
        <v>41922</v>
      </c>
      <c r="G681" s="29">
        <f>186</f>
        <v>186</v>
      </c>
      <c r="H681" s="9"/>
      <c r="I681" s="139"/>
      <c r="J681" s="9"/>
      <c r="K681" s="8"/>
      <c r="L681" s="9"/>
      <c r="M681" s="9"/>
      <c r="N681" s="9"/>
      <c r="O681" s="9"/>
      <c r="P681" s="9"/>
      <c r="Q681" s="18">
        <f t="shared" si="33"/>
        <v>186</v>
      </c>
      <c r="R681" s="18">
        <f t="shared" si="34"/>
        <v>0</v>
      </c>
      <c r="S681" s="18">
        <f t="shared" si="35"/>
        <v>186</v>
      </c>
    </row>
    <row r="682" spans="1:19" x14ac:dyDescent="0.25">
      <c r="A682" s="45" t="s">
        <v>3606</v>
      </c>
      <c r="B682" s="30" t="s">
        <v>3607</v>
      </c>
      <c r="C682" s="30">
        <v>452</v>
      </c>
      <c r="D682" s="10" t="s">
        <v>3608</v>
      </c>
      <c r="E682" s="9" t="s">
        <v>19</v>
      </c>
      <c r="F682" s="58">
        <v>41922</v>
      </c>
      <c r="G682" s="29">
        <f>147</f>
        <v>147</v>
      </c>
      <c r="H682" s="9"/>
      <c r="I682" s="139"/>
      <c r="J682" s="9"/>
      <c r="K682" s="8"/>
      <c r="L682" s="9"/>
      <c r="M682" s="9"/>
      <c r="N682" s="9"/>
      <c r="O682" s="9"/>
      <c r="P682" s="9"/>
      <c r="Q682" s="18">
        <f t="shared" si="33"/>
        <v>147</v>
      </c>
      <c r="R682" s="18">
        <f t="shared" si="34"/>
        <v>0</v>
      </c>
      <c r="S682" s="18">
        <f t="shared" si="35"/>
        <v>147</v>
      </c>
    </row>
    <row r="683" spans="1:19" x14ac:dyDescent="0.25">
      <c r="A683" s="45" t="s">
        <v>3606</v>
      </c>
      <c r="B683" s="30" t="s">
        <v>3607</v>
      </c>
      <c r="C683" s="30">
        <v>452</v>
      </c>
      <c r="D683" s="10" t="s">
        <v>3609</v>
      </c>
      <c r="E683" s="9" t="s">
        <v>19</v>
      </c>
      <c r="F683" s="58">
        <v>41922</v>
      </c>
      <c r="G683" s="29">
        <f>116.2</f>
        <v>116.2</v>
      </c>
      <c r="H683" s="9"/>
      <c r="I683" s="139"/>
      <c r="J683" s="9"/>
      <c r="K683" s="8"/>
      <c r="L683" s="9"/>
      <c r="M683" s="9"/>
      <c r="N683" s="9"/>
      <c r="O683" s="9"/>
      <c r="P683" s="9"/>
      <c r="Q683" s="18">
        <f t="shared" si="33"/>
        <v>116.2</v>
      </c>
      <c r="R683" s="18">
        <f t="shared" si="34"/>
        <v>0</v>
      </c>
      <c r="S683" s="18">
        <f t="shared" si="35"/>
        <v>116.2</v>
      </c>
    </row>
    <row r="684" spans="1:19" x14ac:dyDescent="0.25">
      <c r="A684" s="45" t="s">
        <v>3606</v>
      </c>
      <c r="B684" s="30" t="s">
        <v>3607</v>
      </c>
      <c r="C684" s="30">
        <v>452</v>
      </c>
      <c r="D684" s="10" t="s">
        <v>3610</v>
      </c>
      <c r="E684" s="9" t="s">
        <v>19</v>
      </c>
      <c r="F684" s="58">
        <v>41922</v>
      </c>
      <c r="G684" s="29">
        <f>202</f>
        <v>202</v>
      </c>
      <c r="H684" s="9"/>
      <c r="I684" s="139"/>
      <c r="J684" s="9"/>
      <c r="K684" s="8"/>
      <c r="L684" s="9"/>
      <c r="M684" s="9"/>
      <c r="N684" s="9"/>
      <c r="O684" s="9"/>
      <c r="P684" s="9"/>
      <c r="Q684" s="18">
        <f t="shared" si="33"/>
        <v>202</v>
      </c>
      <c r="R684" s="18">
        <f t="shared" si="34"/>
        <v>0</v>
      </c>
      <c r="S684" s="18">
        <f t="shared" si="35"/>
        <v>202</v>
      </c>
    </row>
    <row r="685" spans="1:19" x14ac:dyDescent="0.25">
      <c r="A685" s="45" t="s">
        <v>3606</v>
      </c>
      <c r="B685" s="30" t="s">
        <v>3607</v>
      </c>
      <c r="C685" s="30">
        <v>452</v>
      </c>
      <c r="D685" s="10" t="s">
        <v>3611</v>
      </c>
      <c r="E685" s="9" t="s">
        <v>19</v>
      </c>
      <c r="F685" s="58">
        <v>41922</v>
      </c>
      <c r="G685" s="29">
        <f>157.3+41.3+180.47+135.97+177.3</f>
        <v>692.34000000000015</v>
      </c>
      <c r="H685" s="9"/>
      <c r="I685" s="139"/>
      <c r="J685" s="9"/>
      <c r="K685" s="8"/>
      <c r="L685" s="9"/>
      <c r="M685" s="9"/>
      <c r="N685" s="9"/>
      <c r="O685" s="9"/>
      <c r="P685" s="9"/>
      <c r="Q685" s="18">
        <f t="shared" si="33"/>
        <v>692.34000000000015</v>
      </c>
      <c r="R685" s="18">
        <f t="shared" si="34"/>
        <v>0</v>
      </c>
      <c r="S685" s="18">
        <f t="shared" si="35"/>
        <v>692.34000000000015</v>
      </c>
    </row>
    <row r="686" spans="1:19" x14ac:dyDescent="0.25">
      <c r="A686" s="45" t="s">
        <v>3612</v>
      </c>
      <c r="B686" s="30" t="s">
        <v>3613</v>
      </c>
      <c r="C686" s="30">
        <v>453</v>
      </c>
      <c r="D686" s="10" t="s">
        <v>3614</v>
      </c>
      <c r="E686" s="9" t="s">
        <v>19</v>
      </c>
      <c r="F686" s="58">
        <v>41922</v>
      </c>
      <c r="G686" s="29">
        <f>68</f>
        <v>68</v>
      </c>
      <c r="H686" s="9"/>
      <c r="I686" s="139"/>
      <c r="J686" s="9"/>
      <c r="K686" s="8"/>
      <c r="L686" s="9"/>
      <c r="M686" s="9"/>
      <c r="N686" s="9"/>
      <c r="O686" s="9"/>
      <c r="P686" s="9"/>
      <c r="Q686" s="18">
        <f t="shared" si="33"/>
        <v>68</v>
      </c>
      <c r="R686" s="18">
        <f t="shared" si="34"/>
        <v>0</v>
      </c>
      <c r="S686" s="18">
        <f t="shared" si="35"/>
        <v>68</v>
      </c>
    </row>
    <row r="687" spans="1:19" x14ac:dyDescent="0.25">
      <c r="A687" s="45" t="s">
        <v>3612</v>
      </c>
      <c r="B687" s="30" t="s">
        <v>3613</v>
      </c>
      <c r="C687" s="30">
        <v>453</v>
      </c>
      <c r="D687" s="10" t="s">
        <v>3615</v>
      </c>
      <c r="E687" s="9" t="s">
        <v>19</v>
      </c>
      <c r="F687" s="58">
        <v>41922</v>
      </c>
      <c r="G687" s="29">
        <f>80</f>
        <v>80</v>
      </c>
      <c r="H687" s="9"/>
      <c r="I687" s="139"/>
      <c r="J687" s="9"/>
      <c r="K687" s="8"/>
      <c r="L687" s="9"/>
      <c r="M687" s="9"/>
      <c r="N687" s="9"/>
      <c r="O687" s="9"/>
      <c r="P687" s="9"/>
      <c r="Q687" s="18">
        <f t="shared" si="33"/>
        <v>80</v>
      </c>
      <c r="R687" s="18">
        <f t="shared" si="34"/>
        <v>0</v>
      </c>
      <c r="S687" s="18">
        <f t="shared" si="35"/>
        <v>80</v>
      </c>
    </row>
    <row r="688" spans="1:19" x14ac:dyDescent="0.25">
      <c r="A688" s="45" t="s">
        <v>3616</v>
      </c>
      <c r="B688" s="30" t="s">
        <v>3617</v>
      </c>
      <c r="C688" s="30">
        <v>454</v>
      </c>
      <c r="D688" s="10" t="s">
        <v>3618</v>
      </c>
      <c r="E688" s="9" t="s">
        <v>19</v>
      </c>
      <c r="F688" s="58">
        <v>41923</v>
      </c>
      <c r="G688" s="29">
        <f>157.12+1491.99+167.94</f>
        <v>1817.0500000000002</v>
      </c>
      <c r="H688" s="9"/>
      <c r="I688" s="139">
        <f>750/2</f>
        <v>375</v>
      </c>
      <c r="J688" s="9"/>
      <c r="K688" s="8"/>
      <c r="L688" s="9"/>
      <c r="M688" s="9"/>
      <c r="N688" s="9"/>
      <c r="O688" s="9"/>
      <c r="P688" s="9"/>
      <c r="Q688" s="18">
        <f t="shared" si="33"/>
        <v>2192.0500000000002</v>
      </c>
      <c r="R688" s="18">
        <f t="shared" si="34"/>
        <v>0</v>
      </c>
      <c r="S688" s="18">
        <f t="shared" si="35"/>
        <v>2192.0500000000002</v>
      </c>
    </row>
    <row r="689" spans="1:19" x14ac:dyDescent="0.25">
      <c r="A689" s="45" t="s">
        <v>3619</v>
      </c>
      <c r="B689" s="30" t="s">
        <v>3620</v>
      </c>
      <c r="C689" s="30">
        <v>455</v>
      </c>
      <c r="D689" s="10" t="s">
        <v>3621</v>
      </c>
      <c r="E689" s="9" t="s">
        <v>19</v>
      </c>
      <c r="F689" s="58">
        <v>41923</v>
      </c>
      <c r="G689" s="29"/>
      <c r="H689" s="9"/>
      <c r="I689" s="139"/>
      <c r="J689" s="9"/>
      <c r="K689" s="8"/>
      <c r="L689" s="9"/>
      <c r="M689" s="9"/>
      <c r="N689" s="9"/>
      <c r="O689" s="9"/>
      <c r="P689" s="9"/>
      <c r="Q689" s="18">
        <f t="shared" si="33"/>
        <v>0</v>
      </c>
      <c r="R689" s="18">
        <f t="shared" si="34"/>
        <v>0</v>
      </c>
      <c r="S689" s="18">
        <f t="shared" si="35"/>
        <v>0</v>
      </c>
    </row>
    <row r="690" spans="1:19" x14ac:dyDescent="0.25">
      <c r="A690" s="45" t="s">
        <v>3425</v>
      </c>
      <c r="B690" s="30" t="s">
        <v>3426</v>
      </c>
      <c r="C690" s="30">
        <v>456</v>
      </c>
      <c r="D690" s="10" t="s">
        <v>3622</v>
      </c>
      <c r="E690" s="9" t="s">
        <v>19</v>
      </c>
      <c r="F690" s="58">
        <v>41923</v>
      </c>
      <c r="G690" s="29">
        <f>182+35</f>
        <v>217</v>
      </c>
      <c r="H690" s="9"/>
      <c r="I690" s="139"/>
      <c r="J690" s="9"/>
      <c r="K690" s="8"/>
      <c r="L690" s="9"/>
      <c r="M690" s="9"/>
      <c r="N690" s="9"/>
      <c r="O690" s="9"/>
      <c r="P690" s="9"/>
      <c r="Q690" s="18">
        <f t="shared" si="33"/>
        <v>217</v>
      </c>
      <c r="R690" s="18">
        <f t="shared" si="34"/>
        <v>0</v>
      </c>
      <c r="S690" s="18">
        <f t="shared" si="35"/>
        <v>217</v>
      </c>
    </row>
    <row r="691" spans="1:19" x14ac:dyDescent="0.25">
      <c r="A691" s="45" t="s">
        <v>3623</v>
      </c>
      <c r="B691" s="30" t="s">
        <v>3624</v>
      </c>
      <c r="C691" s="30">
        <v>457</v>
      </c>
      <c r="D691" s="10" t="s">
        <v>3625</v>
      </c>
      <c r="E691" s="9" t="s">
        <v>19</v>
      </c>
      <c r="F691" s="58">
        <v>41923</v>
      </c>
      <c r="G691" s="29">
        <f>60.89+162.92</f>
        <v>223.81</v>
      </c>
      <c r="H691" s="9"/>
      <c r="I691" s="139"/>
      <c r="J691" s="9"/>
      <c r="K691" s="8"/>
      <c r="L691" s="9"/>
      <c r="M691" s="9"/>
      <c r="N691" s="9"/>
      <c r="O691" s="9"/>
      <c r="P691" s="9"/>
      <c r="Q691" s="18">
        <f t="shared" si="33"/>
        <v>223.81</v>
      </c>
      <c r="R691" s="18">
        <f t="shared" si="34"/>
        <v>0</v>
      </c>
      <c r="S691" s="18">
        <f t="shared" si="35"/>
        <v>223.81</v>
      </c>
    </row>
    <row r="692" spans="1:19" x14ac:dyDescent="0.25">
      <c r="A692" s="45" t="s">
        <v>3626</v>
      </c>
      <c r="B692" s="30" t="s">
        <v>3627</v>
      </c>
      <c r="C692" s="30">
        <v>458</v>
      </c>
      <c r="D692" s="10" t="s">
        <v>3628</v>
      </c>
      <c r="E692" s="9" t="s">
        <v>19</v>
      </c>
      <c r="F692" s="58">
        <v>41925</v>
      </c>
      <c r="G692" s="29">
        <f>130.98</f>
        <v>130.97999999999999</v>
      </c>
      <c r="H692" s="9"/>
      <c r="I692" s="139"/>
      <c r="J692" s="9"/>
      <c r="K692" s="8"/>
      <c r="L692" s="9"/>
      <c r="M692" s="9"/>
      <c r="N692" s="9"/>
      <c r="O692" s="9"/>
      <c r="P692" s="9"/>
      <c r="Q692" s="18">
        <f t="shared" si="33"/>
        <v>130.97999999999999</v>
      </c>
      <c r="R692" s="18">
        <f t="shared" si="34"/>
        <v>0</v>
      </c>
      <c r="S692" s="18">
        <f t="shared" si="35"/>
        <v>130.97999999999999</v>
      </c>
    </row>
    <row r="693" spans="1:19" x14ac:dyDescent="0.25">
      <c r="A693" s="45" t="s">
        <v>3629</v>
      </c>
      <c r="B693" s="30" t="s">
        <v>3630</v>
      </c>
      <c r="C693" s="30">
        <v>459</v>
      </c>
      <c r="D693" s="10" t="s">
        <v>3631</v>
      </c>
      <c r="E693" s="9" t="s">
        <v>19</v>
      </c>
      <c r="F693" s="58">
        <v>41929</v>
      </c>
      <c r="G693" s="29">
        <f>376.2</f>
        <v>376.2</v>
      </c>
      <c r="H693" s="9"/>
      <c r="I693" s="139"/>
      <c r="J693" s="9"/>
      <c r="K693" s="8"/>
      <c r="L693" s="9"/>
      <c r="M693" s="9"/>
      <c r="N693" s="9"/>
      <c r="O693" s="9"/>
      <c r="P693" s="9"/>
      <c r="Q693" s="18">
        <f t="shared" si="33"/>
        <v>376.2</v>
      </c>
      <c r="R693" s="18">
        <f t="shared" si="34"/>
        <v>0</v>
      </c>
      <c r="S693" s="18">
        <f t="shared" si="35"/>
        <v>376.2</v>
      </c>
    </row>
    <row r="694" spans="1:19" x14ac:dyDescent="0.25">
      <c r="A694" s="45" t="s">
        <v>3632</v>
      </c>
      <c r="B694" s="30" t="s">
        <v>3633</v>
      </c>
      <c r="C694" s="30">
        <v>460</v>
      </c>
      <c r="D694" s="10" t="s">
        <v>3634</v>
      </c>
      <c r="E694" s="9" t="s">
        <v>19</v>
      </c>
      <c r="F694" s="58">
        <v>41929</v>
      </c>
      <c r="G694" s="29">
        <f>40</f>
        <v>40</v>
      </c>
      <c r="H694" s="9"/>
      <c r="I694" s="139"/>
      <c r="J694" s="9"/>
      <c r="K694" s="8"/>
      <c r="L694" s="9"/>
      <c r="M694" s="9"/>
      <c r="N694" s="9"/>
      <c r="O694" s="9"/>
      <c r="P694" s="9"/>
      <c r="Q694" s="18">
        <f t="shared" si="33"/>
        <v>40</v>
      </c>
      <c r="R694" s="18">
        <f t="shared" si="34"/>
        <v>0</v>
      </c>
      <c r="S694" s="18">
        <f t="shared" si="35"/>
        <v>40</v>
      </c>
    </row>
    <row r="695" spans="1:19" x14ac:dyDescent="0.25">
      <c r="A695" s="45" t="s">
        <v>3632</v>
      </c>
      <c r="B695" s="30" t="s">
        <v>3633</v>
      </c>
      <c r="C695" s="30">
        <v>460</v>
      </c>
      <c r="D695" s="10" t="s">
        <v>3635</v>
      </c>
      <c r="E695" s="9" t="s">
        <v>19</v>
      </c>
      <c r="F695" s="58">
        <v>41929</v>
      </c>
      <c r="G695" s="29">
        <f>40.8</f>
        <v>40.799999999999997</v>
      </c>
      <c r="H695" s="9"/>
      <c r="I695" s="139"/>
      <c r="J695" s="9"/>
      <c r="K695" s="8"/>
      <c r="L695" s="9"/>
      <c r="M695" s="9"/>
      <c r="N695" s="9"/>
      <c r="O695" s="9"/>
      <c r="P695" s="9"/>
      <c r="Q695" s="18">
        <f t="shared" si="33"/>
        <v>40.799999999999997</v>
      </c>
      <c r="R695" s="18">
        <f t="shared" si="34"/>
        <v>0</v>
      </c>
      <c r="S695" s="18">
        <f t="shared" si="35"/>
        <v>40.799999999999997</v>
      </c>
    </row>
    <row r="696" spans="1:19" x14ac:dyDescent="0.25">
      <c r="A696" s="45" t="s">
        <v>3636</v>
      </c>
      <c r="B696" s="30" t="s">
        <v>3637</v>
      </c>
      <c r="C696" s="30">
        <v>461</v>
      </c>
      <c r="D696" s="10" t="s">
        <v>3638</v>
      </c>
      <c r="E696" s="9" t="s">
        <v>19</v>
      </c>
      <c r="F696" s="58">
        <v>41929</v>
      </c>
      <c r="G696" s="29">
        <f>83+115</f>
        <v>198</v>
      </c>
      <c r="H696" s="9"/>
      <c r="I696" s="139"/>
      <c r="J696" s="9"/>
      <c r="K696" s="8"/>
      <c r="L696" s="9"/>
      <c r="M696" s="9"/>
      <c r="N696" s="9"/>
      <c r="O696" s="9"/>
      <c r="P696" s="9"/>
      <c r="Q696" s="18">
        <f t="shared" si="33"/>
        <v>198</v>
      </c>
      <c r="R696" s="18">
        <f t="shared" si="34"/>
        <v>0</v>
      </c>
      <c r="S696" s="18">
        <f t="shared" si="35"/>
        <v>198</v>
      </c>
    </row>
    <row r="697" spans="1:19" x14ac:dyDescent="0.25">
      <c r="A697" s="45" t="s">
        <v>3639</v>
      </c>
      <c r="B697" s="30" t="s">
        <v>3640</v>
      </c>
      <c r="C697" s="30">
        <v>462</v>
      </c>
      <c r="D697" s="10" t="s">
        <v>3641</v>
      </c>
      <c r="E697" s="9" t="s">
        <v>19</v>
      </c>
      <c r="F697" s="58">
        <v>41929</v>
      </c>
      <c r="G697" s="29">
        <f>238+51.28+238+70.33+724</f>
        <v>1321.6100000000001</v>
      </c>
      <c r="H697" s="9"/>
      <c r="I697" s="139">
        <v>650</v>
      </c>
      <c r="J697" s="9"/>
      <c r="K697" s="8"/>
      <c r="L697" s="9"/>
      <c r="M697" s="9"/>
      <c r="N697" s="9"/>
      <c r="O697" s="9"/>
      <c r="P697" s="9"/>
      <c r="Q697" s="18">
        <f t="shared" si="33"/>
        <v>1971.6100000000001</v>
      </c>
      <c r="R697" s="18">
        <f t="shared" si="34"/>
        <v>0</v>
      </c>
      <c r="S697" s="18">
        <f t="shared" si="35"/>
        <v>1971.6100000000001</v>
      </c>
    </row>
    <row r="698" spans="1:19" x14ac:dyDescent="0.25">
      <c r="A698" s="45" t="s">
        <v>3642</v>
      </c>
      <c r="B698" s="30" t="s">
        <v>3643</v>
      </c>
      <c r="C698" s="30">
        <v>463</v>
      </c>
      <c r="D698" s="10" t="s">
        <v>3644</v>
      </c>
      <c r="E698" s="9" t="s">
        <v>19</v>
      </c>
      <c r="F698" s="58">
        <v>41932</v>
      </c>
      <c r="G698" s="29">
        <f>2170.83+96.57+121.26+147.64+47.2+100.72+127.51+33.4+107.69+47.2+47.2+720.94+185+185</f>
        <v>4138.16</v>
      </c>
      <c r="H698" s="9"/>
      <c r="I698" s="139">
        <f>750/30*57</f>
        <v>1425</v>
      </c>
      <c r="J698" s="9"/>
      <c r="K698" s="8"/>
      <c r="L698" s="9"/>
      <c r="M698" s="9"/>
      <c r="N698" s="9"/>
      <c r="O698" s="9"/>
      <c r="P698" s="9"/>
      <c r="Q698" s="18">
        <f t="shared" si="33"/>
        <v>5563.16</v>
      </c>
      <c r="R698" s="18">
        <f t="shared" si="34"/>
        <v>0</v>
      </c>
      <c r="S698" s="18">
        <f t="shared" si="35"/>
        <v>5563.16</v>
      </c>
    </row>
    <row r="699" spans="1:19" x14ac:dyDescent="0.25">
      <c r="A699" s="45" t="s">
        <v>3645</v>
      </c>
      <c r="B699" s="30" t="s">
        <v>3646</v>
      </c>
      <c r="C699" s="30">
        <v>464</v>
      </c>
      <c r="D699" s="10" t="s">
        <v>3647</v>
      </c>
      <c r="E699" s="9" t="s">
        <v>19</v>
      </c>
      <c r="F699" s="58">
        <v>41932</v>
      </c>
      <c r="G699" s="29">
        <f>155.6</f>
        <v>155.6</v>
      </c>
      <c r="H699" s="9"/>
      <c r="I699" s="139"/>
      <c r="J699" s="9"/>
      <c r="K699" s="8"/>
      <c r="L699" s="9"/>
      <c r="M699" s="9"/>
      <c r="N699" s="9"/>
      <c r="O699" s="9"/>
      <c r="P699" s="9"/>
      <c r="Q699" s="18">
        <f t="shared" si="33"/>
        <v>155.6</v>
      </c>
      <c r="R699" s="18">
        <f t="shared" si="34"/>
        <v>0</v>
      </c>
      <c r="S699" s="18">
        <f t="shared" si="35"/>
        <v>155.6</v>
      </c>
    </row>
    <row r="700" spans="1:19" x14ac:dyDescent="0.25">
      <c r="A700" s="45" t="s">
        <v>3648</v>
      </c>
      <c r="B700" s="30" t="s">
        <v>3649</v>
      </c>
      <c r="C700" s="30">
        <v>465</v>
      </c>
      <c r="D700" s="32" t="s">
        <v>3650</v>
      </c>
      <c r="E700" s="9" t="s">
        <v>19</v>
      </c>
      <c r="F700" s="58">
        <v>41932</v>
      </c>
      <c r="G700" s="29">
        <f>212.8</f>
        <v>212.8</v>
      </c>
      <c r="H700" s="9"/>
      <c r="I700" s="139"/>
      <c r="J700" s="9"/>
      <c r="K700" s="8"/>
      <c r="L700" s="9"/>
      <c r="M700" s="9"/>
      <c r="N700" s="9"/>
      <c r="O700" s="9"/>
      <c r="P700" s="9"/>
      <c r="Q700" s="18">
        <f t="shared" si="33"/>
        <v>212.8</v>
      </c>
      <c r="R700" s="18">
        <f t="shared" si="34"/>
        <v>0</v>
      </c>
      <c r="S700" s="18">
        <f t="shared" si="35"/>
        <v>212.8</v>
      </c>
    </row>
    <row r="701" spans="1:19" x14ac:dyDescent="0.25">
      <c r="A701" s="45" t="s">
        <v>3651</v>
      </c>
      <c r="B701" s="30" t="s">
        <v>3652</v>
      </c>
      <c r="C701" s="30">
        <v>466</v>
      </c>
      <c r="D701" s="32" t="s">
        <v>3653</v>
      </c>
      <c r="E701" s="9" t="s">
        <v>19</v>
      </c>
      <c r="F701" s="58" t="s">
        <v>3654</v>
      </c>
      <c r="G701" s="29">
        <f>312.7</f>
        <v>312.7</v>
      </c>
      <c r="H701" s="9"/>
      <c r="I701" s="139"/>
      <c r="J701" s="9"/>
      <c r="K701" s="8"/>
      <c r="L701" s="9"/>
      <c r="M701" s="9"/>
      <c r="N701" s="9"/>
      <c r="O701" s="9"/>
      <c r="P701" s="9"/>
      <c r="Q701" s="18">
        <f t="shared" si="33"/>
        <v>312.7</v>
      </c>
      <c r="R701" s="18">
        <f t="shared" si="34"/>
        <v>0</v>
      </c>
      <c r="S701" s="18">
        <f t="shared" si="35"/>
        <v>312.7</v>
      </c>
    </row>
    <row r="702" spans="1:19" x14ac:dyDescent="0.25">
      <c r="A702" s="45" t="s">
        <v>3655</v>
      </c>
      <c r="B702" s="30" t="s">
        <v>3656</v>
      </c>
      <c r="C702" s="30">
        <v>467</v>
      </c>
      <c r="D702" s="32" t="s">
        <v>3657</v>
      </c>
      <c r="E702" s="9" t="s">
        <v>19</v>
      </c>
      <c r="F702" s="58">
        <v>41934</v>
      </c>
      <c r="G702" s="29">
        <f>228.51</f>
        <v>228.51</v>
      </c>
      <c r="H702" s="9"/>
      <c r="I702" s="139"/>
      <c r="J702" s="9"/>
      <c r="K702" s="8"/>
      <c r="L702" s="9"/>
      <c r="M702" s="9"/>
      <c r="N702" s="9"/>
      <c r="O702" s="9"/>
      <c r="P702" s="9"/>
      <c r="Q702" s="18">
        <f t="shared" si="33"/>
        <v>228.51</v>
      </c>
      <c r="R702" s="18">
        <f t="shared" si="34"/>
        <v>0</v>
      </c>
      <c r="S702" s="18">
        <f t="shared" si="35"/>
        <v>228.51</v>
      </c>
    </row>
    <row r="703" spans="1:19" x14ac:dyDescent="0.25">
      <c r="A703" s="45" t="s">
        <v>3658</v>
      </c>
      <c r="B703" s="45" t="s">
        <v>3659</v>
      </c>
      <c r="C703" s="30">
        <v>468</v>
      </c>
      <c r="D703" s="32" t="s">
        <v>3660</v>
      </c>
      <c r="E703" s="9" t="s">
        <v>19</v>
      </c>
      <c r="F703" s="58">
        <v>41935</v>
      </c>
      <c r="G703" s="29">
        <f>106</f>
        <v>106</v>
      </c>
      <c r="H703" s="9"/>
      <c r="I703" s="139"/>
      <c r="J703" s="9"/>
      <c r="K703" s="8"/>
      <c r="L703" s="9"/>
      <c r="M703" s="9"/>
      <c r="N703" s="9"/>
      <c r="O703" s="9"/>
      <c r="P703" s="9"/>
      <c r="Q703" s="18">
        <f t="shared" si="33"/>
        <v>106</v>
      </c>
      <c r="R703" s="18">
        <f t="shared" si="34"/>
        <v>0</v>
      </c>
      <c r="S703" s="18">
        <f t="shared" si="35"/>
        <v>106</v>
      </c>
    </row>
    <row r="704" spans="1:19" x14ac:dyDescent="0.25">
      <c r="A704" s="45" t="s">
        <v>3661</v>
      </c>
      <c r="B704" s="30" t="s">
        <v>3662</v>
      </c>
      <c r="C704" s="30">
        <v>469</v>
      </c>
      <c r="D704" s="32" t="s">
        <v>3663</v>
      </c>
      <c r="E704" s="9" t="s">
        <v>19</v>
      </c>
      <c r="F704" s="58">
        <v>41935</v>
      </c>
      <c r="G704" s="29">
        <f>200</f>
        <v>200</v>
      </c>
      <c r="H704" s="9"/>
      <c r="I704" s="139"/>
      <c r="J704" s="9"/>
      <c r="K704" s="8"/>
      <c r="L704" s="9"/>
      <c r="M704" s="9"/>
      <c r="N704" s="9"/>
      <c r="O704" s="9"/>
      <c r="P704" s="9"/>
      <c r="Q704" s="18">
        <f t="shared" si="33"/>
        <v>200</v>
      </c>
      <c r="R704" s="18">
        <f t="shared" si="34"/>
        <v>0</v>
      </c>
      <c r="S704" s="18">
        <f t="shared" si="35"/>
        <v>200</v>
      </c>
    </row>
    <row r="705" spans="1:19" x14ac:dyDescent="0.25">
      <c r="A705" s="45" t="s">
        <v>3664</v>
      </c>
      <c r="B705" s="45" t="s">
        <v>3665</v>
      </c>
      <c r="C705" s="30">
        <v>470</v>
      </c>
      <c r="D705" s="32" t="s">
        <v>3833</v>
      </c>
      <c r="E705" s="9" t="s">
        <v>19</v>
      </c>
      <c r="F705" s="58">
        <v>41935</v>
      </c>
      <c r="G705" s="29">
        <f>112.3</f>
        <v>112.3</v>
      </c>
      <c r="H705" s="9"/>
      <c r="I705" s="139"/>
      <c r="J705" s="9"/>
      <c r="K705" s="8"/>
      <c r="L705" s="9"/>
      <c r="M705" s="9"/>
      <c r="N705" s="9"/>
      <c r="O705" s="9"/>
      <c r="P705" s="9"/>
      <c r="Q705" s="18">
        <f t="shared" si="33"/>
        <v>112.3</v>
      </c>
      <c r="R705" s="18">
        <f t="shared" si="34"/>
        <v>0</v>
      </c>
      <c r="S705" s="18">
        <f t="shared" si="35"/>
        <v>112.3</v>
      </c>
    </row>
    <row r="706" spans="1:19" x14ac:dyDescent="0.25">
      <c r="A706" s="45" t="s">
        <v>3666</v>
      </c>
      <c r="B706" s="30" t="s">
        <v>3667</v>
      </c>
      <c r="C706" s="30">
        <v>471</v>
      </c>
      <c r="D706" s="32" t="s">
        <v>3668</v>
      </c>
      <c r="E706" s="9" t="s">
        <v>19</v>
      </c>
      <c r="F706" s="58">
        <v>41935</v>
      </c>
      <c r="G706" s="29">
        <f>511.5</f>
        <v>511.5</v>
      </c>
      <c r="H706" s="9"/>
      <c r="I706" s="139"/>
      <c r="J706" s="9"/>
      <c r="K706" s="8"/>
      <c r="L706" s="9"/>
      <c r="M706" s="9"/>
      <c r="N706" s="9"/>
      <c r="O706" s="9"/>
      <c r="P706" s="9"/>
      <c r="Q706" s="18">
        <f t="shared" si="33"/>
        <v>511.5</v>
      </c>
      <c r="R706" s="18">
        <f t="shared" si="34"/>
        <v>0</v>
      </c>
      <c r="S706" s="18">
        <f t="shared" si="35"/>
        <v>511.5</v>
      </c>
    </row>
    <row r="707" spans="1:19" x14ac:dyDescent="0.25">
      <c r="A707" s="45" t="s">
        <v>3669</v>
      </c>
      <c r="B707" s="30" t="s">
        <v>3670</v>
      </c>
      <c r="C707" s="30">
        <v>472</v>
      </c>
      <c r="D707" s="32" t="s">
        <v>3671</v>
      </c>
      <c r="E707" s="9" t="s">
        <v>19</v>
      </c>
      <c r="F707" s="58">
        <v>41935</v>
      </c>
      <c r="G707" s="29">
        <f>137.8</f>
        <v>137.80000000000001</v>
      </c>
      <c r="H707" s="9"/>
      <c r="I707" s="139"/>
      <c r="J707" s="9"/>
      <c r="K707" s="8"/>
      <c r="L707" s="9"/>
      <c r="M707" s="9"/>
      <c r="N707" s="9"/>
      <c r="O707" s="9"/>
      <c r="P707" s="9"/>
      <c r="Q707" s="18">
        <f t="shared" si="33"/>
        <v>137.80000000000001</v>
      </c>
      <c r="R707" s="18">
        <f t="shared" si="34"/>
        <v>0</v>
      </c>
      <c r="S707" s="18">
        <f t="shared" si="35"/>
        <v>137.80000000000001</v>
      </c>
    </row>
    <row r="708" spans="1:19" x14ac:dyDescent="0.25">
      <c r="A708" s="45" t="s">
        <v>3672</v>
      </c>
      <c r="B708" s="30" t="s">
        <v>3673</v>
      </c>
      <c r="C708" s="30">
        <v>473</v>
      </c>
      <c r="D708" s="32" t="s">
        <v>3834</v>
      </c>
      <c r="E708" s="9" t="s">
        <v>19</v>
      </c>
      <c r="F708" s="58">
        <v>41935</v>
      </c>
      <c r="G708" s="29">
        <f>40</f>
        <v>40</v>
      </c>
      <c r="H708" s="9"/>
      <c r="I708" s="139"/>
      <c r="J708" s="9"/>
      <c r="K708" s="8"/>
      <c r="L708" s="9"/>
      <c r="M708" s="9"/>
      <c r="N708" s="9"/>
      <c r="O708" s="9"/>
      <c r="P708" s="9"/>
      <c r="Q708" s="18">
        <f t="shared" si="33"/>
        <v>40</v>
      </c>
      <c r="R708" s="18">
        <f t="shared" si="34"/>
        <v>0</v>
      </c>
      <c r="S708" s="18">
        <f t="shared" si="35"/>
        <v>40</v>
      </c>
    </row>
    <row r="709" spans="1:19" x14ac:dyDescent="0.25">
      <c r="A709" s="45" t="s">
        <v>3672</v>
      </c>
      <c r="B709" s="30" t="s">
        <v>3673</v>
      </c>
      <c r="C709" s="30">
        <v>473</v>
      </c>
      <c r="D709" s="32" t="s">
        <v>3674</v>
      </c>
      <c r="E709" s="9" t="s">
        <v>19</v>
      </c>
      <c r="F709" s="58">
        <v>41935</v>
      </c>
      <c r="G709" s="29">
        <f>48</f>
        <v>48</v>
      </c>
      <c r="H709" s="9"/>
      <c r="I709" s="139"/>
      <c r="J709" s="9"/>
      <c r="K709" s="8"/>
      <c r="L709" s="9"/>
      <c r="M709" s="9"/>
      <c r="N709" s="9"/>
      <c r="O709" s="9"/>
      <c r="P709" s="9"/>
      <c r="Q709" s="18">
        <f t="shared" si="33"/>
        <v>48</v>
      </c>
      <c r="R709" s="18">
        <f t="shared" si="34"/>
        <v>0</v>
      </c>
      <c r="S709" s="18">
        <f t="shared" si="35"/>
        <v>48</v>
      </c>
    </row>
    <row r="710" spans="1:19" x14ac:dyDescent="0.25">
      <c r="A710" s="45" t="s">
        <v>3425</v>
      </c>
      <c r="B710" s="30" t="s">
        <v>3426</v>
      </c>
      <c r="C710" s="30">
        <v>474</v>
      </c>
      <c r="D710" s="32" t="s">
        <v>3622</v>
      </c>
      <c r="E710" s="9" t="s">
        <v>19</v>
      </c>
      <c r="F710" s="58">
        <v>41935</v>
      </c>
      <c r="G710" s="29"/>
      <c r="H710" s="9"/>
      <c r="I710" s="139"/>
      <c r="J710" s="9"/>
      <c r="K710" s="8"/>
      <c r="L710" s="9"/>
      <c r="M710" s="9"/>
      <c r="N710" s="9"/>
      <c r="O710" s="9"/>
      <c r="P710" s="9"/>
      <c r="Q710" s="18">
        <f t="shared" si="33"/>
        <v>0</v>
      </c>
      <c r="R710" s="18">
        <f t="shared" si="34"/>
        <v>0</v>
      </c>
      <c r="S710" s="18">
        <f t="shared" si="35"/>
        <v>0</v>
      </c>
    </row>
    <row r="711" spans="1:19" x14ac:dyDescent="0.25">
      <c r="A711" s="45" t="s">
        <v>3675</v>
      </c>
      <c r="B711" s="30" t="s">
        <v>3676</v>
      </c>
      <c r="C711" s="30">
        <v>475</v>
      </c>
      <c r="D711" s="32" t="s">
        <v>3677</v>
      </c>
      <c r="E711" s="9" t="s">
        <v>19</v>
      </c>
      <c r="F711" s="58">
        <v>41936</v>
      </c>
      <c r="G711" s="29">
        <f>240+41.3+41.3</f>
        <v>322.60000000000002</v>
      </c>
      <c r="H711" s="9"/>
      <c r="I711" s="139"/>
      <c r="J711" s="9"/>
      <c r="K711" s="8"/>
      <c r="L711" s="9"/>
      <c r="M711" s="9"/>
      <c r="N711" s="9"/>
      <c r="O711" s="9"/>
      <c r="P711" s="9"/>
      <c r="Q711" s="18">
        <f t="shared" si="33"/>
        <v>322.60000000000002</v>
      </c>
      <c r="R711" s="18">
        <f t="shared" si="34"/>
        <v>0</v>
      </c>
      <c r="S711" s="18">
        <f t="shared" si="35"/>
        <v>322.60000000000002</v>
      </c>
    </row>
    <row r="712" spans="1:19" x14ac:dyDescent="0.25">
      <c r="A712" s="45" t="s">
        <v>3675</v>
      </c>
      <c r="B712" s="30" t="s">
        <v>3676</v>
      </c>
      <c r="C712" s="30">
        <v>475</v>
      </c>
      <c r="D712" s="32" t="s">
        <v>3678</v>
      </c>
      <c r="E712" s="9" t="s">
        <v>19</v>
      </c>
      <c r="F712" s="58">
        <v>41936</v>
      </c>
      <c r="G712" s="29">
        <f>240+41.3+41.3</f>
        <v>322.60000000000002</v>
      </c>
      <c r="H712" s="9"/>
      <c r="I712" s="139"/>
      <c r="J712" s="9"/>
      <c r="K712" s="8"/>
      <c r="L712" s="9"/>
      <c r="M712" s="9"/>
      <c r="N712" s="9"/>
      <c r="O712" s="9"/>
      <c r="P712" s="9"/>
      <c r="Q712" s="18">
        <f t="shared" si="33"/>
        <v>322.60000000000002</v>
      </c>
      <c r="R712" s="18">
        <f t="shared" si="34"/>
        <v>0</v>
      </c>
      <c r="S712" s="18">
        <f t="shared" si="35"/>
        <v>322.60000000000002</v>
      </c>
    </row>
    <row r="713" spans="1:19" x14ac:dyDescent="0.25">
      <c r="A713" s="45" t="s">
        <v>3679</v>
      </c>
      <c r="B713" s="30" t="s">
        <v>3680</v>
      </c>
      <c r="C713" s="30">
        <v>476</v>
      </c>
      <c r="D713" s="32" t="s">
        <v>3681</v>
      </c>
      <c r="E713" s="9" t="s">
        <v>19</v>
      </c>
      <c r="F713" s="58">
        <v>41936</v>
      </c>
      <c r="G713" s="29">
        <f>572.36</f>
        <v>572.36</v>
      </c>
      <c r="H713" s="9"/>
      <c r="I713" s="139"/>
      <c r="J713" s="9"/>
      <c r="K713" s="8"/>
      <c r="L713" s="9"/>
      <c r="M713" s="9"/>
      <c r="N713" s="9"/>
      <c r="O713" s="9"/>
      <c r="P713" s="9"/>
      <c r="Q713" s="18">
        <f t="shared" si="33"/>
        <v>572.36</v>
      </c>
      <c r="R713" s="18">
        <f t="shared" si="34"/>
        <v>0</v>
      </c>
      <c r="S713" s="18">
        <f t="shared" si="35"/>
        <v>572.36</v>
      </c>
    </row>
    <row r="714" spans="1:19" x14ac:dyDescent="0.25">
      <c r="A714" s="45" t="s">
        <v>3679</v>
      </c>
      <c r="B714" s="30" t="s">
        <v>3680</v>
      </c>
      <c r="C714" s="30">
        <v>476</v>
      </c>
      <c r="D714" s="32" t="s">
        <v>3682</v>
      </c>
      <c r="E714" s="9" t="s">
        <v>19</v>
      </c>
      <c r="F714" s="58">
        <v>41936</v>
      </c>
      <c r="G714" s="29">
        <f>240+601.98</f>
        <v>841.98</v>
      </c>
      <c r="H714" s="9"/>
      <c r="I714" s="139"/>
      <c r="J714" s="9"/>
      <c r="K714" s="8"/>
      <c r="L714" s="9"/>
      <c r="M714" s="9"/>
      <c r="N714" s="9"/>
      <c r="O714" s="9"/>
      <c r="P714" s="9"/>
      <c r="Q714" s="18">
        <f t="shared" si="33"/>
        <v>841.98</v>
      </c>
      <c r="R714" s="18">
        <f t="shared" si="34"/>
        <v>0</v>
      </c>
      <c r="S714" s="18">
        <f t="shared" si="35"/>
        <v>841.98</v>
      </c>
    </row>
    <row r="715" spans="1:19" x14ac:dyDescent="0.25">
      <c r="A715" s="45" t="s">
        <v>3683</v>
      </c>
      <c r="B715" s="30" t="s">
        <v>3684</v>
      </c>
      <c r="C715" s="30">
        <v>477</v>
      </c>
      <c r="D715" s="32" t="s">
        <v>3685</v>
      </c>
      <c r="E715" s="9" t="s">
        <v>19</v>
      </c>
      <c r="F715" s="58">
        <v>41936</v>
      </c>
      <c r="G715" s="29">
        <f>144.3</f>
        <v>144.30000000000001</v>
      </c>
      <c r="H715" s="9"/>
      <c r="I715" s="139"/>
      <c r="J715" s="9"/>
      <c r="K715" s="8"/>
      <c r="L715" s="9"/>
      <c r="M715" s="9"/>
      <c r="N715" s="9"/>
      <c r="O715" s="9"/>
      <c r="P715" s="9"/>
      <c r="Q715" s="18">
        <f t="shared" si="33"/>
        <v>144.30000000000001</v>
      </c>
      <c r="R715" s="18">
        <f t="shared" si="34"/>
        <v>0</v>
      </c>
      <c r="S715" s="18">
        <f t="shared" si="35"/>
        <v>144.30000000000001</v>
      </c>
    </row>
    <row r="716" spans="1:19" x14ac:dyDescent="0.25">
      <c r="A716" s="45" t="s">
        <v>3686</v>
      </c>
      <c r="B716" s="30" t="s">
        <v>3687</v>
      </c>
      <c r="C716" s="30">
        <v>478</v>
      </c>
      <c r="D716" s="32" t="s">
        <v>3688</v>
      </c>
      <c r="E716" s="9" t="s">
        <v>19</v>
      </c>
      <c r="F716" s="58">
        <v>41937</v>
      </c>
      <c r="G716" s="29">
        <f>115.3</f>
        <v>115.3</v>
      </c>
      <c r="H716" s="9"/>
      <c r="I716" s="139"/>
      <c r="J716" s="9"/>
      <c r="K716" s="8"/>
      <c r="L716" s="9"/>
      <c r="M716" s="9"/>
      <c r="N716" s="9"/>
      <c r="O716" s="9"/>
      <c r="P716" s="9"/>
      <c r="Q716" s="18">
        <f t="shared" si="33"/>
        <v>115.3</v>
      </c>
      <c r="R716" s="18">
        <f t="shared" si="34"/>
        <v>0</v>
      </c>
      <c r="S716" s="18">
        <f t="shared" si="35"/>
        <v>115.3</v>
      </c>
    </row>
    <row r="717" spans="1:19" x14ac:dyDescent="0.25">
      <c r="A717" s="45" t="s">
        <v>3686</v>
      </c>
      <c r="B717" s="30" t="s">
        <v>3687</v>
      </c>
      <c r="C717" s="30">
        <v>478</v>
      </c>
      <c r="D717" s="32" t="s">
        <v>3689</v>
      </c>
      <c r="E717" s="9" t="s">
        <v>19</v>
      </c>
      <c r="F717" s="58">
        <v>41937</v>
      </c>
      <c r="G717" s="29">
        <f>105.3</f>
        <v>105.3</v>
      </c>
      <c r="H717" s="9"/>
      <c r="I717" s="139"/>
      <c r="J717" s="9"/>
      <c r="K717" s="8"/>
      <c r="L717" s="9"/>
      <c r="M717" s="9"/>
      <c r="N717" s="9"/>
      <c r="O717" s="9"/>
      <c r="P717" s="9"/>
      <c r="Q717" s="18">
        <f t="shared" si="33"/>
        <v>105.3</v>
      </c>
      <c r="R717" s="18">
        <f t="shared" si="34"/>
        <v>0</v>
      </c>
      <c r="S717" s="18">
        <f t="shared" si="35"/>
        <v>105.3</v>
      </c>
    </row>
    <row r="718" spans="1:19" x14ac:dyDescent="0.25">
      <c r="A718" s="45" t="s">
        <v>3690</v>
      </c>
      <c r="B718" s="30" t="s">
        <v>3691</v>
      </c>
      <c r="C718" s="30">
        <v>479</v>
      </c>
      <c r="D718" s="32" t="s">
        <v>3692</v>
      </c>
      <c r="E718" s="9" t="s">
        <v>19</v>
      </c>
      <c r="F718" s="58">
        <v>41939</v>
      </c>
      <c r="G718" s="29">
        <f>107.3+35</f>
        <v>142.30000000000001</v>
      </c>
      <c r="H718" s="9"/>
      <c r="I718" s="139"/>
      <c r="J718" s="9"/>
      <c r="K718" s="8"/>
      <c r="L718" s="9"/>
      <c r="M718" s="9"/>
      <c r="N718" s="9"/>
      <c r="O718" s="9"/>
      <c r="P718" s="9"/>
      <c r="Q718" s="18">
        <f t="shared" si="33"/>
        <v>142.30000000000001</v>
      </c>
      <c r="R718" s="18">
        <f t="shared" si="34"/>
        <v>0</v>
      </c>
      <c r="S718" s="18">
        <f t="shared" si="35"/>
        <v>142.30000000000001</v>
      </c>
    </row>
    <row r="719" spans="1:19" x14ac:dyDescent="0.25">
      <c r="A719" s="45" t="s">
        <v>3690</v>
      </c>
      <c r="B719" s="30" t="s">
        <v>3691</v>
      </c>
      <c r="C719" s="30">
        <v>479</v>
      </c>
      <c r="D719" s="32" t="s">
        <v>3693</v>
      </c>
      <c r="E719" s="9" t="s">
        <v>19</v>
      </c>
      <c r="F719" s="58">
        <v>41939</v>
      </c>
      <c r="G719" s="29">
        <f>202.87+244.7+56.76+64.9+436.6</f>
        <v>1005.83</v>
      </c>
      <c r="H719" s="9"/>
      <c r="I719" s="139">
        <f>750/30*40</f>
        <v>1000</v>
      </c>
      <c r="J719" s="9"/>
      <c r="K719" s="8"/>
      <c r="L719" s="9"/>
      <c r="M719" s="9"/>
      <c r="N719" s="9"/>
      <c r="O719" s="9"/>
      <c r="P719" s="9"/>
      <c r="Q719" s="18">
        <f t="shared" si="33"/>
        <v>2005.83</v>
      </c>
      <c r="R719" s="18">
        <f t="shared" si="34"/>
        <v>0</v>
      </c>
      <c r="S719" s="18">
        <f t="shared" si="35"/>
        <v>2005.83</v>
      </c>
    </row>
    <row r="720" spans="1:19" x14ac:dyDescent="0.25">
      <c r="A720" s="45" t="s">
        <v>3690</v>
      </c>
      <c r="B720" s="30" t="s">
        <v>3691</v>
      </c>
      <c r="C720" s="30">
        <v>479</v>
      </c>
      <c r="D720" s="32" t="s">
        <v>3694</v>
      </c>
      <c r="E720" s="9" t="s">
        <v>19</v>
      </c>
      <c r="F720" s="58">
        <v>41939</v>
      </c>
      <c r="G720" s="29">
        <f>320+170.3</f>
        <v>490.3</v>
      </c>
      <c r="H720" s="9"/>
      <c r="I720" s="139"/>
      <c r="J720" s="9"/>
      <c r="K720" s="8"/>
      <c r="L720" s="9"/>
      <c r="M720" s="9"/>
      <c r="N720" s="9"/>
      <c r="O720" s="9"/>
      <c r="P720" s="9"/>
      <c r="Q720" s="18">
        <f t="shared" si="33"/>
        <v>490.3</v>
      </c>
      <c r="R720" s="18">
        <f t="shared" si="34"/>
        <v>0</v>
      </c>
      <c r="S720" s="18">
        <f t="shared" si="35"/>
        <v>490.3</v>
      </c>
    </row>
    <row r="721" spans="1:19" x14ac:dyDescent="0.25">
      <c r="A721" s="45" t="s">
        <v>3690</v>
      </c>
      <c r="B721" s="30" t="s">
        <v>3691</v>
      </c>
      <c r="C721" s="30">
        <v>479</v>
      </c>
      <c r="D721" s="32" t="s">
        <v>3695</v>
      </c>
      <c r="E721" s="9" t="s">
        <v>19</v>
      </c>
      <c r="F721" s="58">
        <v>41939</v>
      </c>
      <c r="G721" s="29">
        <f>240+209+294.26+122.2+112.5+348.1+436.6+64.9+64.9</f>
        <v>1892.46</v>
      </c>
      <c r="H721" s="9"/>
      <c r="I721" s="139">
        <v>1500</v>
      </c>
      <c r="J721" s="9"/>
      <c r="K721" s="8"/>
      <c r="L721" s="9"/>
      <c r="M721" s="9"/>
      <c r="N721" s="9"/>
      <c r="O721" s="9"/>
      <c r="P721" s="9"/>
      <c r="Q721" s="18">
        <f t="shared" si="33"/>
        <v>3392.46</v>
      </c>
      <c r="R721" s="18">
        <f t="shared" si="34"/>
        <v>0</v>
      </c>
      <c r="S721" s="18">
        <f t="shared" si="35"/>
        <v>3392.46</v>
      </c>
    </row>
    <row r="722" spans="1:19" x14ac:dyDescent="0.25">
      <c r="A722" s="45" t="s">
        <v>3690</v>
      </c>
      <c r="B722" s="30" t="s">
        <v>3691</v>
      </c>
      <c r="C722" s="30">
        <v>479</v>
      </c>
      <c r="D722" s="32" t="s">
        <v>3696</v>
      </c>
      <c r="E722" s="9" t="s">
        <v>19</v>
      </c>
      <c r="F722" s="58">
        <v>41939</v>
      </c>
      <c r="G722" s="29"/>
      <c r="H722" s="9"/>
      <c r="I722" s="139"/>
      <c r="J722" s="9"/>
      <c r="K722" s="8"/>
      <c r="L722" s="9"/>
      <c r="M722" s="9"/>
      <c r="N722" s="9"/>
      <c r="O722" s="9"/>
      <c r="P722" s="9"/>
      <c r="Q722" s="18">
        <f t="shared" ref="Q722:Q785" si="36">+G722+I722+K722+M722+O722</f>
        <v>0</v>
      </c>
      <c r="R722" s="18">
        <f t="shared" ref="R722:R785" si="37">+H722+J722+L722+N722+P722</f>
        <v>0</v>
      </c>
      <c r="S722" s="18">
        <f t="shared" ref="S722:S785" si="38">+Q722+R722</f>
        <v>0</v>
      </c>
    </row>
    <row r="723" spans="1:19" x14ac:dyDescent="0.25">
      <c r="A723" s="45" t="s">
        <v>3690</v>
      </c>
      <c r="B723" s="30" t="s">
        <v>3691</v>
      </c>
      <c r="C723" s="30">
        <v>479</v>
      </c>
      <c r="D723" s="32" t="s">
        <v>3697</v>
      </c>
      <c r="E723" s="9" t="s">
        <v>19</v>
      </c>
      <c r="F723" s="58">
        <v>41939</v>
      </c>
      <c r="G723" s="29"/>
      <c r="H723" s="9"/>
      <c r="I723" s="139"/>
      <c r="J723" s="9"/>
      <c r="K723" s="8"/>
      <c r="L723" s="9"/>
      <c r="M723" s="9"/>
      <c r="N723" s="9"/>
      <c r="O723" s="9"/>
      <c r="P723" s="9"/>
      <c r="Q723" s="18">
        <f t="shared" si="36"/>
        <v>0</v>
      </c>
      <c r="R723" s="18">
        <f t="shared" si="37"/>
        <v>0</v>
      </c>
      <c r="S723" s="18">
        <f t="shared" si="38"/>
        <v>0</v>
      </c>
    </row>
    <row r="724" spans="1:19" x14ac:dyDescent="0.25">
      <c r="A724" s="45" t="s">
        <v>3690</v>
      </c>
      <c r="B724" s="30" t="s">
        <v>3691</v>
      </c>
      <c r="C724" s="30">
        <v>479</v>
      </c>
      <c r="D724" s="32" t="s">
        <v>3835</v>
      </c>
      <c r="E724" s="9" t="s">
        <v>19</v>
      </c>
      <c r="F724" s="58">
        <v>41939</v>
      </c>
      <c r="G724" s="29">
        <f>40</f>
        <v>40</v>
      </c>
      <c r="H724" s="9"/>
      <c r="I724" s="139"/>
      <c r="J724" s="9"/>
      <c r="K724" s="8"/>
      <c r="L724" s="9"/>
      <c r="M724" s="9"/>
      <c r="N724" s="9"/>
      <c r="O724" s="9"/>
      <c r="P724" s="9"/>
      <c r="Q724" s="18">
        <f t="shared" si="36"/>
        <v>40</v>
      </c>
      <c r="R724" s="18">
        <f t="shared" si="37"/>
        <v>0</v>
      </c>
      <c r="S724" s="18">
        <f t="shared" si="38"/>
        <v>40</v>
      </c>
    </row>
    <row r="725" spans="1:19" x14ac:dyDescent="0.25">
      <c r="A725" s="45" t="s">
        <v>3690</v>
      </c>
      <c r="B725" s="30" t="s">
        <v>3691</v>
      </c>
      <c r="C725" s="30">
        <v>479</v>
      </c>
      <c r="D725" s="32" t="s">
        <v>3698</v>
      </c>
      <c r="E725" s="9" t="s">
        <v>19</v>
      </c>
      <c r="F725" s="58">
        <v>41939</v>
      </c>
      <c r="G725" s="29">
        <f>152.17+240+43.87+306.6+137.35+47.2+59.9</f>
        <v>987.09</v>
      </c>
      <c r="H725" s="9"/>
      <c r="I725" s="139">
        <f>550</f>
        <v>550</v>
      </c>
      <c r="J725" s="9"/>
      <c r="K725" s="8"/>
      <c r="L725" s="9"/>
      <c r="M725" s="9"/>
      <c r="N725" s="9"/>
      <c r="O725" s="9"/>
      <c r="P725" s="9"/>
      <c r="Q725" s="18">
        <f t="shared" si="36"/>
        <v>1537.0900000000001</v>
      </c>
      <c r="R725" s="18">
        <f t="shared" si="37"/>
        <v>0</v>
      </c>
      <c r="S725" s="18">
        <f t="shared" si="38"/>
        <v>1537.0900000000001</v>
      </c>
    </row>
    <row r="726" spans="1:19" x14ac:dyDescent="0.25">
      <c r="A726" s="45" t="s">
        <v>3690</v>
      </c>
      <c r="B726" s="30" t="s">
        <v>3691</v>
      </c>
      <c r="C726" s="30">
        <v>479</v>
      </c>
      <c r="D726" s="32" t="s">
        <v>3699</v>
      </c>
      <c r="E726" s="9" t="s">
        <v>19</v>
      </c>
      <c r="F726" s="58">
        <v>41939</v>
      </c>
      <c r="G726" s="29">
        <v>40</v>
      </c>
      <c r="H726" s="9"/>
      <c r="I726" s="139"/>
      <c r="J726" s="9"/>
      <c r="K726" s="8"/>
      <c r="L726" s="9"/>
      <c r="M726" s="9">
        <f>3800</f>
        <v>3800</v>
      </c>
      <c r="N726" s="9"/>
      <c r="O726" s="9">
        <v>15200</v>
      </c>
      <c r="P726" s="9"/>
      <c r="Q726" s="18">
        <f t="shared" si="36"/>
        <v>19040</v>
      </c>
      <c r="R726" s="18">
        <f t="shared" si="37"/>
        <v>0</v>
      </c>
      <c r="S726" s="18">
        <f t="shared" si="38"/>
        <v>19040</v>
      </c>
    </row>
    <row r="727" spans="1:19" x14ac:dyDescent="0.25">
      <c r="A727" s="45" t="s">
        <v>3700</v>
      </c>
      <c r="B727" s="30" t="s">
        <v>3701</v>
      </c>
      <c r="C727" s="30">
        <v>480</v>
      </c>
      <c r="D727" s="32" t="s">
        <v>3702</v>
      </c>
      <c r="E727" s="9" t="s">
        <v>19</v>
      </c>
      <c r="F727" s="58">
        <v>41939</v>
      </c>
      <c r="G727" s="29">
        <f>562.38</f>
        <v>562.38</v>
      </c>
      <c r="H727" s="9"/>
      <c r="I727" s="139"/>
      <c r="J727" s="9"/>
      <c r="K727" s="8"/>
      <c r="L727" s="9"/>
      <c r="M727" s="9"/>
      <c r="N727" s="9"/>
      <c r="O727" s="9"/>
      <c r="P727" s="9"/>
      <c r="Q727" s="18">
        <f t="shared" si="36"/>
        <v>562.38</v>
      </c>
      <c r="R727" s="18">
        <f t="shared" si="37"/>
        <v>0</v>
      </c>
      <c r="S727" s="18">
        <f t="shared" si="38"/>
        <v>562.38</v>
      </c>
    </row>
    <row r="728" spans="1:19" x14ac:dyDescent="0.25">
      <c r="A728" s="45" t="s">
        <v>3700</v>
      </c>
      <c r="B728" s="30" t="s">
        <v>3701</v>
      </c>
      <c r="C728" s="30">
        <v>480</v>
      </c>
      <c r="D728" s="32" t="s">
        <v>3703</v>
      </c>
      <c r="E728" s="9" t="s">
        <v>19</v>
      </c>
      <c r="F728" s="58">
        <v>41939</v>
      </c>
      <c r="G728" s="29">
        <f>133.89</f>
        <v>133.88999999999999</v>
      </c>
      <c r="H728" s="9"/>
      <c r="I728" s="139"/>
      <c r="J728" s="9"/>
      <c r="K728" s="8"/>
      <c r="L728" s="9"/>
      <c r="M728" s="9"/>
      <c r="N728" s="9"/>
      <c r="O728" s="9"/>
      <c r="P728" s="9"/>
      <c r="Q728" s="18">
        <f t="shared" si="36"/>
        <v>133.88999999999999</v>
      </c>
      <c r="R728" s="18">
        <f t="shared" si="37"/>
        <v>0</v>
      </c>
      <c r="S728" s="18">
        <f t="shared" si="38"/>
        <v>133.88999999999999</v>
      </c>
    </row>
    <row r="729" spans="1:19" x14ac:dyDescent="0.25">
      <c r="A729" s="45" t="s">
        <v>3704</v>
      </c>
      <c r="B729" s="30" t="s">
        <v>3715</v>
      </c>
      <c r="C729" s="30">
        <v>481</v>
      </c>
      <c r="D729" s="32" t="s">
        <v>3705</v>
      </c>
      <c r="E729" s="9" t="s">
        <v>73</v>
      </c>
      <c r="F729" s="58">
        <v>41941</v>
      </c>
      <c r="G729" s="29">
        <f>60+15</f>
        <v>75</v>
      </c>
      <c r="H729" s="9"/>
      <c r="I729" s="139"/>
      <c r="J729" s="9"/>
      <c r="K729" s="8"/>
      <c r="L729" s="9"/>
      <c r="M729" s="9"/>
      <c r="N729" s="9"/>
      <c r="O729" s="9"/>
      <c r="P729" s="9"/>
      <c r="Q729" s="18">
        <f t="shared" si="36"/>
        <v>75</v>
      </c>
      <c r="R729" s="18">
        <f t="shared" si="37"/>
        <v>0</v>
      </c>
      <c r="S729" s="18">
        <f t="shared" si="38"/>
        <v>75</v>
      </c>
    </row>
    <row r="730" spans="1:19" x14ac:dyDescent="0.25">
      <c r="A730" s="45" t="s">
        <v>3706</v>
      </c>
      <c r="B730" s="30" t="s">
        <v>3707</v>
      </c>
      <c r="C730" s="30">
        <v>482</v>
      </c>
      <c r="D730" s="32" t="s">
        <v>3708</v>
      </c>
      <c r="E730" s="9" t="s">
        <v>19</v>
      </c>
      <c r="F730" s="58">
        <v>41941</v>
      </c>
      <c r="G730" s="29">
        <f>4265.48+47.2+88.42+47.2+47.2</f>
        <v>4495.4999999999991</v>
      </c>
      <c r="H730" s="9"/>
      <c r="I730" s="139">
        <f>750+750+1500+750</f>
        <v>3750</v>
      </c>
      <c r="J730" s="9"/>
      <c r="K730" s="8"/>
      <c r="L730" s="9"/>
      <c r="M730" s="9"/>
      <c r="N730" s="9"/>
      <c r="O730" s="9"/>
      <c r="P730" s="9"/>
      <c r="Q730" s="18">
        <f t="shared" si="36"/>
        <v>8245.5</v>
      </c>
      <c r="R730" s="18">
        <f t="shared" si="37"/>
        <v>0</v>
      </c>
      <c r="S730" s="18">
        <f t="shared" si="38"/>
        <v>8245.5</v>
      </c>
    </row>
    <row r="731" spans="1:19" x14ac:dyDescent="0.25">
      <c r="A731" s="45" t="s">
        <v>3709</v>
      </c>
      <c r="B731" s="30" t="s">
        <v>3710</v>
      </c>
      <c r="C731" s="30">
        <v>483</v>
      </c>
      <c r="D731" s="32" t="s">
        <v>3711</v>
      </c>
      <c r="E731" s="9" t="s">
        <v>19</v>
      </c>
      <c r="F731" s="58">
        <v>41941</v>
      </c>
      <c r="G731" s="29">
        <f>40.8</f>
        <v>40.799999999999997</v>
      </c>
      <c r="H731" s="9"/>
      <c r="I731" s="139"/>
      <c r="J731" s="9"/>
      <c r="K731" s="8"/>
      <c r="L731" s="9"/>
      <c r="M731" s="9"/>
      <c r="N731" s="9"/>
      <c r="O731" s="9"/>
      <c r="P731" s="9"/>
      <c r="Q731" s="18">
        <f t="shared" si="36"/>
        <v>40.799999999999997</v>
      </c>
      <c r="R731" s="18">
        <f t="shared" si="37"/>
        <v>0</v>
      </c>
      <c r="S731" s="18">
        <f t="shared" si="38"/>
        <v>40.799999999999997</v>
      </c>
    </row>
    <row r="732" spans="1:19" x14ac:dyDescent="0.25">
      <c r="A732" s="45" t="s">
        <v>3709</v>
      </c>
      <c r="B732" s="30" t="s">
        <v>3710</v>
      </c>
      <c r="C732" s="30">
        <v>483</v>
      </c>
      <c r="D732" s="32" t="s">
        <v>3837</v>
      </c>
      <c r="E732" s="9" t="s">
        <v>19</v>
      </c>
      <c r="F732" s="58">
        <v>41941</v>
      </c>
      <c r="G732" s="29">
        <v>49.1</v>
      </c>
      <c r="H732" s="9"/>
      <c r="I732" s="139"/>
      <c r="J732" s="9"/>
      <c r="K732" s="8"/>
      <c r="L732" s="9"/>
      <c r="M732" s="9"/>
      <c r="N732" s="9"/>
      <c r="O732" s="9"/>
      <c r="P732" s="9"/>
      <c r="Q732" s="18">
        <f t="shared" si="36"/>
        <v>49.1</v>
      </c>
      <c r="R732" s="18">
        <f t="shared" si="37"/>
        <v>0</v>
      </c>
      <c r="S732" s="18">
        <f t="shared" si="38"/>
        <v>49.1</v>
      </c>
    </row>
    <row r="733" spans="1:19" x14ac:dyDescent="0.25">
      <c r="A733" s="45" t="s">
        <v>3709</v>
      </c>
      <c r="B733" s="30" t="s">
        <v>3710</v>
      </c>
      <c r="C733" s="30">
        <v>483</v>
      </c>
      <c r="D733" s="32" t="s">
        <v>3712</v>
      </c>
      <c r="E733" s="9" t="s">
        <v>19</v>
      </c>
      <c r="F733" s="58">
        <v>41941</v>
      </c>
      <c r="G733" s="29">
        <f>40</f>
        <v>40</v>
      </c>
      <c r="H733" s="9"/>
      <c r="I733" s="139"/>
      <c r="J733" s="9"/>
      <c r="K733" s="8"/>
      <c r="L733" s="9"/>
      <c r="M733" s="9"/>
      <c r="N733" s="9"/>
      <c r="O733" s="9"/>
      <c r="P733" s="9"/>
      <c r="Q733" s="18">
        <f t="shared" si="36"/>
        <v>40</v>
      </c>
      <c r="R733" s="18">
        <f t="shared" si="37"/>
        <v>0</v>
      </c>
      <c r="S733" s="18">
        <f t="shared" si="38"/>
        <v>40</v>
      </c>
    </row>
    <row r="734" spans="1:19" x14ac:dyDescent="0.25">
      <c r="A734" s="45" t="s">
        <v>3709</v>
      </c>
      <c r="B734" s="30" t="s">
        <v>3710</v>
      </c>
      <c r="C734" s="30">
        <v>483</v>
      </c>
      <c r="D734" s="32" t="s">
        <v>3713</v>
      </c>
      <c r="E734" s="9" t="s">
        <v>19</v>
      </c>
      <c r="F734" s="58">
        <v>41941</v>
      </c>
      <c r="G734" s="29">
        <f>40.5</f>
        <v>40.5</v>
      </c>
      <c r="H734" s="9"/>
      <c r="I734" s="139"/>
      <c r="J734" s="9"/>
      <c r="K734" s="8"/>
      <c r="L734" s="9"/>
      <c r="M734" s="9"/>
      <c r="N734" s="9"/>
      <c r="O734" s="9"/>
      <c r="P734" s="9"/>
      <c r="Q734" s="18">
        <f t="shared" si="36"/>
        <v>40.5</v>
      </c>
      <c r="R734" s="18">
        <f t="shared" si="37"/>
        <v>0</v>
      </c>
      <c r="S734" s="18">
        <f t="shared" si="38"/>
        <v>40.5</v>
      </c>
    </row>
    <row r="735" spans="1:19" x14ac:dyDescent="0.25">
      <c r="A735" s="45" t="s">
        <v>3709</v>
      </c>
      <c r="B735" s="30" t="s">
        <v>3710</v>
      </c>
      <c r="C735" s="30">
        <v>483</v>
      </c>
      <c r="D735" s="32" t="s">
        <v>3714</v>
      </c>
      <c r="E735" s="9" t="s">
        <v>19</v>
      </c>
      <c r="F735" s="58">
        <v>41941</v>
      </c>
      <c r="G735" s="29">
        <f>40</f>
        <v>40</v>
      </c>
      <c r="H735" s="9"/>
      <c r="I735" s="139"/>
      <c r="J735" s="9"/>
      <c r="K735" s="8"/>
      <c r="L735" s="9"/>
      <c r="M735" s="9"/>
      <c r="N735" s="9"/>
      <c r="O735" s="9"/>
      <c r="P735" s="9"/>
      <c r="Q735" s="18">
        <f t="shared" si="36"/>
        <v>40</v>
      </c>
      <c r="R735" s="18">
        <f t="shared" si="37"/>
        <v>0</v>
      </c>
      <c r="S735" s="18">
        <f t="shared" si="38"/>
        <v>40</v>
      </c>
    </row>
    <row r="736" spans="1:19" x14ac:dyDescent="0.25">
      <c r="A736" s="45" t="s">
        <v>3709</v>
      </c>
      <c r="B736" s="30" t="s">
        <v>3710</v>
      </c>
      <c r="C736" s="30">
        <v>483</v>
      </c>
      <c r="D736" s="32" t="s">
        <v>3836</v>
      </c>
      <c r="E736" s="9" t="s">
        <v>19</v>
      </c>
      <c r="F736" s="58">
        <v>41941</v>
      </c>
      <c r="G736" s="29">
        <f>48.6</f>
        <v>48.6</v>
      </c>
      <c r="H736" s="9"/>
      <c r="I736" s="139"/>
      <c r="J736" s="9"/>
      <c r="K736" s="8"/>
      <c r="L736" s="9"/>
      <c r="M736" s="9"/>
      <c r="N736" s="9"/>
      <c r="O736" s="9"/>
      <c r="P736" s="9"/>
      <c r="Q736" s="18">
        <f t="shared" si="36"/>
        <v>48.6</v>
      </c>
      <c r="R736" s="18">
        <f t="shared" si="37"/>
        <v>0</v>
      </c>
      <c r="S736" s="18">
        <f t="shared" si="38"/>
        <v>48.6</v>
      </c>
    </row>
    <row r="737" spans="1:19" x14ac:dyDescent="0.25">
      <c r="A737" s="45" t="s">
        <v>3718</v>
      </c>
      <c r="B737" s="30" t="s">
        <v>3719</v>
      </c>
      <c r="C737" s="30">
        <v>484</v>
      </c>
      <c r="D737" s="32" t="s">
        <v>3720</v>
      </c>
      <c r="E737" s="30" t="s">
        <v>3721</v>
      </c>
      <c r="F737" s="58">
        <v>41943</v>
      </c>
      <c r="G737" s="29">
        <f>64.27+56.76+118</f>
        <v>239.03</v>
      </c>
      <c r="H737" s="9"/>
      <c r="I737" s="139"/>
      <c r="J737" s="9"/>
      <c r="K737" s="8"/>
      <c r="L737" s="9"/>
      <c r="M737" s="9"/>
      <c r="N737" s="9"/>
      <c r="O737" s="9"/>
      <c r="P737" s="9"/>
      <c r="Q737" s="18">
        <f t="shared" si="36"/>
        <v>239.03</v>
      </c>
      <c r="R737" s="18">
        <f t="shared" si="37"/>
        <v>0</v>
      </c>
      <c r="S737" s="18">
        <f t="shared" si="38"/>
        <v>239.03</v>
      </c>
    </row>
    <row r="738" spans="1:19" x14ac:dyDescent="0.25">
      <c r="A738" s="45" t="s">
        <v>3722</v>
      </c>
      <c r="B738" s="30" t="s">
        <v>3723</v>
      </c>
      <c r="C738" s="30">
        <v>485</v>
      </c>
      <c r="D738" s="32" t="s">
        <v>3724</v>
      </c>
      <c r="E738" s="30" t="s">
        <v>3721</v>
      </c>
      <c r="F738" s="58">
        <v>41948</v>
      </c>
      <c r="G738" s="29">
        <f>200.6</f>
        <v>200.6</v>
      </c>
      <c r="H738" s="9"/>
      <c r="I738" s="139"/>
      <c r="J738" s="9"/>
      <c r="K738" s="8"/>
      <c r="L738" s="9"/>
      <c r="M738" s="9"/>
      <c r="N738" s="9"/>
      <c r="O738" s="9"/>
      <c r="P738" s="9"/>
      <c r="Q738" s="18">
        <f t="shared" si="36"/>
        <v>200.6</v>
      </c>
      <c r="R738" s="18">
        <f t="shared" si="37"/>
        <v>0</v>
      </c>
      <c r="S738" s="18">
        <f t="shared" si="38"/>
        <v>200.6</v>
      </c>
    </row>
    <row r="739" spans="1:19" x14ac:dyDescent="0.25">
      <c r="A739" s="45" t="s">
        <v>3725</v>
      </c>
      <c r="B739" s="30" t="s">
        <v>3726</v>
      </c>
      <c r="C739" s="30">
        <v>486</v>
      </c>
      <c r="D739" s="32" t="s">
        <v>3776</v>
      </c>
      <c r="E739" s="30" t="s">
        <v>3721</v>
      </c>
      <c r="F739" s="58">
        <v>41948</v>
      </c>
      <c r="G739" s="29">
        <f>16682.57+63+41.3</f>
        <v>16786.87</v>
      </c>
      <c r="H739" s="9"/>
      <c r="I739" s="139"/>
      <c r="J739" s="9"/>
      <c r="K739" s="8"/>
      <c r="L739" s="9"/>
      <c r="M739" s="9"/>
      <c r="N739" s="9"/>
      <c r="O739" s="9"/>
      <c r="P739" s="9"/>
      <c r="Q739" s="18">
        <f t="shared" si="36"/>
        <v>16786.87</v>
      </c>
      <c r="R739" s="18">
        <f t="shared" si="37"/>
        <v>0</v>
      </c>
      <c r="S739" s="18">
        <f t="shared" si="38"/>
        <v>16786.87</v>
      </c>
    </row>
    <row r="740" spans="1:19" x14ac:dyDescent="0.25">
      <c r="A740" s="45" t="s">
        <v>3727</v>
      </c>
      <c r="B740" s="30" t="s">
        <v>3728</v>
      </c>
      <c r="C740" s="30">
        <v>487</v>
      </c>
      <c r="D740" s="32" t="s">
        <v>3729</v>
      </c>
      <c r="E740" s="30" t="s">
        <v>3721</v>
      </c>
      <c r="F740" s="58">
        <v>41949</v>
      </c>
      <c r="G740" s="29">
        <f>170.69</f>
        <v>170.69</v>
      </c>
      <c r="H740" s="9"/>
      <c r="I740" s="139"/>
      <c r="J740" s="9"/>
      <c r="K740" s="8"/>
      <c r="L740" s="9"/>
      <c r="M740" s="9"/>
      <c r="N740" s="9"/>
      <c r="O740" s="9"/>
      <c r="P740" s="9"/>
      <c r="Q740" s="18">
        <f t="shared" si="36"/>
        <v>170.69</v>
      </c>
      <c r="R740" s="18">
        <f t="shared" si="37"/>
        <v>0</v>
      </c>
      <c r="S740" s="18">
        <f t="shared" si="38"/>
        <v>170.69</v>
      </c>
    </row>
    <row r="741" spans="1:19" x14ac:dyDescent="0.25">
      <c r="A741" s="45" t="s">
        <v>3730</v>
      </c>
      <c r="B741" s="30" t="s">
        <v>3731</v>
      </c>
      <c r="C741" s="30">
        <v>488</v>
      </c>
      <c r="D741" s="32" t="s">
        <v>3732</v>
      </c>
      <c r="E741" s="30" t="s">
        <v>3721</v>
      </c>
      <c r="F741" s="58">
        <v>41949</v>
      </c>
      <c r="G741" s="29">
        <f>123.9</f>
        <v>123.9</v>
      </c>
      <c r="H741" s="9"/>
      <c r="I741" s="139"/>
      <c r="J741" s="9"/>
      <c r="K741" s="8"/>
      <c r="L741" s="9"/>
      <c r="M741" s="9"/>
      <c r="N741" s="9"/>
      <c r="O741" s="9"/>
      <c r="P741" s="9"/>
      <c r="Q741" s="18">
        <f t="shared" si="36"/>
        <v>123.9</v>
      </c>
      <c r="R741" s="18">
        <f t="shared" si="37"/>
        <v>0</v>
      </c>
      <c r="S741" s="18">
        <f t="shared" si="38"/>
        <v>123.9</v>
      </c>
    </row>
    <row r="742" spans="1:19" x14ac:dyDescent="0.25">
      <c r="A742" s="45" t="s">
        <v>3730</v>
      </c>
      <c r="B742" s="30" t="s">
        <v>3731</v>
      </c>
      <c r="C742" s="30">
        <v>488</v>
      </c>
      <c r="D742" s="32" t="s">
        <v>4551</v>
      </c>
      <c r="E742" s="30" t="s">
        <v>3721</v>
      </c>
      <c r="F742" s="58">
        <v>41949</v>
      </c>
      <c r="G742" s="29">
        <f>165.2</f>
        <v>165.2</v>
      </c>
      <c r="H742" s="9"/>
      <c r="I742" s="139"/>
      <c r="J742" s="9"/>
      <c r="K742" s="8"/>
      <c r="L742" s="9"/>
      <c r="M742" s="9"/>
      <c r="N742" s="9"/>
      <c r="O742" s="9"/>
      <c r="P742" s="9"/>
      <c r="Q742" s="18">
        <f t="shared" si="36"/>
        <v>165.2</v>
      </c>
      <c r="R742" s="18">
        <f t="shared" si="37"/>
        <v>0</v>
      </c>
      <c r="S742" s="18">
        <f t="shared" si="38"/>
        <v>165.2</v>
      </c>
    </row>
    <row r="743" spans="1:19" x14ac:dyDescent="0.25">
      <c r="A743" s="45" t="s">
        <v>3733</v>
      </c>
      <c r="B743" s="30" t="s">
        <v>3734</v>
      </c>
      <c r="C743" s="30">
        <v>489</v>
      </c>
      <c r="D743" s="32" t="s">
        <v>3735</v>
      </c>
      <c r="E743" s="30" t="s">
        <v>3721</v>
      </c>
      <c r="F743" s="58">
        <v>41949</v>
      </c>
      <c r="G743" s="29">
        <f>274.88</f>
        <v>274.88</v>
      </c>
      <c r="H743" s="9"/>
      <c r="I743" s="139"/>
      <c r="J743" s="9"/>
      <c r="K743" s="8"/>
      <c r="L743" s="9"/>
      <c r="M743" s="9"/>
      <c r="N743" s="9"/>
      <c r="O743" s="9"/>
      <c r="P743" s="9"/>
      <c r="Q743" s="18">
        <f t="shared" si="36"/>
        <v>274.88</v>
      </c>
      <c r="R743" s="18">
        <f t="shared" si="37"/>
        <v>0</v>
      </c>
      <c r="S743" s="18">
        <f t="shared" si="38"/>
        <v>274.88</v>
      </c>
    </row>
    <row r="744" spans="1:19" x14ac:dyDescent="0.25">
      <c r="A744" s="45" t="s">
        <v>3736</v>
      </c>
      <c r="B744" s="30" t="s">
        <v>3737</v>
      </c>
      <c r="C744" s="30">
        <v>490</v>
      </c>
      <c r="D744" s="32" t="s">
        <v>3738</v>
      </c>
      <c r="E744" s="30" t="s">
        <v>3721</v>
      </c>
      <c r="F744" s="58">
        <v>41949</v>
      </c>
      <c r="G744" s="29">
        <f>156.02</f>
        <v>156.02000000000001</v>
      </c>
      <c r="H744" s="9"/>
      <c r="I744" s="139"/>
      <c r="J744" s="9"/>
      <c r="K744" s="8"/>
      <c r="L744" s="9"/>
      <c r="M744" s="9"/>
      <c r="N744" s="9"/>
      <c r="O744" s="9"/>
      <c r="P744" s="9"/>
      <c r="Q744" s="18">
        <f t="shared" si="36"/>
        <v>156.02000000000001</v>
      </c>
      <c r="R744" s="18">
        <f t="shared" si="37"/>
        <v>0</v>
      </c>
      <c r="S744" s="18">
        <f t="shared" si="38"/>
        <v>156.02000000000001</v>
      </c>
    </row>
    <row r="745" spans="1:19" x14ac:dyDescent="0.25">
      <c r="A745" s="45" t="s">
        <v>3739</v>
      </c>
      <c r="B745" s="30" t="s">
        <v>3740</v>
      </c>
      <c r="C745" s="30">
        <v>491</v>
      </c>
      <c r="D745" s="32" t="s">
        <v>3741</v>
      </c>
      <c r="E745" s="30" t="s">
        <v>3721</v>
      </c>
      <c r="F745" s="58">
        <v>41949</v>
      </c>
      <c r="G745" s="29">
        <v>159.18</v>
      </c>
      <c r="H745" s="9"/>
      <c r="I745" s="139"/>
      <c r="J745" s="9"/>
      <c r="K745" s="8"/>
      <c r="L745" s="9"/>
      <c r="M745" s="9"/>
      <c r="N745" s="9"/>
      <c r="O745" s="9"/>
      <c r="P745" s="9"/>
      <c r="Q745" s="18">
        <f t="shared" si="36"/>
        <v>159.18</v>
      </c>
      <c r="R745" s="18">
        <f t="shared" si="37"/>
        <v>0</v>
      </c>
      <c r="S745" s="18">
        <f t="shared" si="38"/>
        <v>159.18</v>
      </c>
    </row>
    <row r="746" spans="1:19" x14ac:dyDescent="0.25">
      <c r="A746" s="45" t="s">
        <v>3742</v>
      </c>
      <c r="B746" s="30" t="s">
        <v>3743</v>
      </c>
      <c r="C746" s="30">
        <v>492</v>
      </c>
      <c r="D746" s="32" t="s">
        <v>3744</v>
      </c>
      <c r="E746" s="30" t="s">
        <v>3721</v>
      </c>
      <c r="F746" s="58">
        <v>41949</v>
      </c>
      <c r="G746" s="29">
        <f>168.33</f>
        <v>168.33</v>
      </c>
      <c r="H746" s="9"/>
      <c r="I746" s="139"/>
      <c r="J746" s="9"/>
      <c r="K746" s="8"/>
      <c r="L746" s="9"/>
      <c r="M746" s="9"/>
      <c r="N746" s="9"/>
      <c r="O746" s="9"/>
      <c r="P746" s="9"/>
      <c r="Q746" s="18">
        <f t="shared" si="36"/>
        <v>168.33</v>
      </c>
      <c r="R746" s="18">
        <f t="shared" si="37"/>
        <v>0</v>
      </c>
      <c r="S746" s="18">
        <f t="shared" si="38"/>
        <v>168.33</v>
      </c>
    </row>
    <row r="747" spans="1:19" x14ac:dyDescent="0.25">
      <c r="A747" s="45" t="s">
        <v>3745</v>
      </c>
      <c r="B747" s="30" t="s">
        <v>3746</v>
      </c>
      <c r="C747" s="30">
        <v>493</v>
      </c>
      <c r="D747" s="32" t="s">
        <v>3747</v>
      </c>
      <c r="E747" s="30" t="s">
        <v>3765</v>
      </c>
      <c r="F747" s="58">
        <v>41949</v>
      </c>
      <c r="G747" s="29">
        <f>94.4+230.12+41.3+190.2+41.3+277.3+41.3+262.64+322+94.41+195.6</f>
        <v>1790.57</v>
      </c>
      <c r="H747" s="9"/>
      <c r="I747" s="139">
        <v>2250</v>
      </c>
      <c r="J747" s="9"/>
      <c r="K747" s="8"/>
      <c r="L747" s="9"/>
      <c r="M747" s="9"/>
      <c r="N747" s="9"/>
      <c r="O747" s="9"/>
      <c r="P747" s="9"/>
      <c r="Q747" s="18">
        <f t="shared" si="36"/>
        <v>4040.5699999999997</v>
      </c>
      <c r="R747" s="18">
        <f t="shared" si="37"/>
        <v>0</v>
      </c>
      <c r="S747" s="18">
        <f t="shared" si="38"/>
        <v>4040.5699999999997</v>
      </c>
    </row>
    <row r="748" spans="1:19" x14ac:dyDescent="0.25">
      <c r="A748" s="45" t="s">
        <v>3748</v>
      </c>
      <c r="B748" s="30" t="s">
        <v>3749</v>
      </c>
      <c r="C748" s="30">
        <v>494</v>
      </c>
      <c r="D748" s="32" t="s">
        <v>3838</v>
      </c>
      <c r="E748" s="30" t="s">
        <v>3721</v>
      </c>
      <c r="F748" s="58">
        <v>41950</v>
      </c>
      <c r="G748" s="29">
        <f>358.1</f>
        <v>358.1</v>
      </c>
      <c r="H748" s="9"/>
      <c r="I748" s="139"/>
      <c r="J748" s="9"/>
      <c r="K748" s="8"/>
      <c r="L748" s="9"/>
      <c r="M748" s="9"/>
      <c r="N748" s="9"/>
      <c r="O748" s="9"/>
      <c r="P748" s="9"/>
      <c r="Q748" s="18">
        <f t="shared" si="36"/>
        <v>358.1</v>
      </c>
      <c r="R748" s="18">
        <f t="shared" si="37"/>
        <v>0</v>
      </c>
      <c r="S748" s="18">
        <f t="shared" si="38"/>
        <v>358.1</v>
      </c>
    </row>
    <row r="749" spans="1:19" x14ac:dyDescent="0.25">
      <c r="A749" s="45" t="s">
        <v>3750</v>
      </c>
      <c r="B749" s="30" t="s">
        <v>3751</v>
      </c>
      <c r="C749" s="30">
        <v>495</v>
      </c>
      <c r="D749" s="32" t="s">
        <v>3752</v>
      </c>
      <c r="E749" s="30" t="s">
        <v>3721</v>
      </c>
      <c r="F749" s="58">
        <v>41950</v>
      </c>
      <c r="G749" s="29">
        <f>123.9</f>
        <v>123.9</v>
      </c>
      <c r="H749" s="9"/>
      <c r="I749" s="139"/>
      <c r="J749" s="9"/>
      <c r="K749" s="8"/>
      <c r="L749" s="9"/>
      <c r="M749" s="9"/>
      <c r="N749" s="9"/>
      <c r="O749" s="9"/>
      <c r="P749" s="9"/>
      <c r="Q749" s="18">
        <f t="shared" si="36"/>
        <v>123.9</v>
      </c>
      <c r="R749" s="18">
        <f t="shared" si="37"/>
        <v>0</v>
      </c>
      <c r="S749" s="18">
        <f t="shared" si="38"/>
        <v>123.9</v>
      </c>
    </row>
    <row r="750" spans="1:19" x14ac:dyDescent="0.25">
      <c r="A750" s="45" t="s">
        <v>3753</v>
      </c>
      <c r="B750" s="30" t="s">
        <v>3754</v>
      </c>
      <c r="C750" s="30">
        <v>496</v>
      </c>
      <c r="D750" s="32" t="s">
        <v>3755</v>
      </c>
      <c r="E750" s="30" t="s">
        <v>3756</v>
      </c>
      <c r="F750" s="58">
        <v>41950</v>
      </c>
      <c r="G750" s="29">
        <f>193+178.4+74.78+348.1</f>
        <v>794.28</v>
      </c>
      <c r="H750" s="9"/>
      <c r="I750" s="139">
        <f>750/30*8</f>
        <v>200</v>
      </c>
      <c r="J750" s="9"/>
      <c r="K750" s="8"/>
      <c r="L750" s="9"/>
      <c r="M750" s="9"/>
      <c r="N750" s="9"/>
      <c r="O750" s="9"/>
      <c r="P750" s="9"/>
      <c r="Q750" s="18">
        <f t="shared" si="36"/>
        <v>994.28</v>
      </c>
      <c r="R750" s="18">
        <f t="shared" si="37"/>
        <v>0</v>
      </c>
      <c r="S750" s="18">
        <f t="shared" si="38"/>
        <v>994.28</v>
      </c>
    </row>
    <row r="751" spans="1:19" x14ac:dyDescent="0.25">
      <c r="A751" s="45" t="s">
        <v>3757</v>
      </c>
      <c r="B751" s="30" t="s">
        <v>3758</v>
      </c>
      <c r="C751" s="30">
        <v>497</v>
      </c>
      <c r="D751" s="32" t="s">
        <v>3759</v>
      </c>
      <c r="E751" s="30" t="s">
        <v>3756</v>
      </c>
      <c r="F751" s="58">
        <v>41950</v>
      </c>
      <c r="G751" s="29">
        <f>205.8</f>
        <v>205.8</v>
      </c>
      <c r="H751" s="9"/>
      <c r="I751" s="139"/>
      <c r="J751" s="9"/>
      <c r="K751" s="8"/>
      <c r="L751" s="9"/>
      <c r="M751" s="9"/>
      <c r="N751" s="9"/>
      <c r="O751" s="9"/>
      <c r="P751" s="9"/>
      <c r="Q751" s="18">
        <f t="shared" si="36"/>
        <v>205.8</v>
      </c>
      <c r="R751" s="18">
        <f t="shared" si="37"/>
        <v>0</v>
      </c>
      <c r="S751" s="18">
        <f t="shared" si="38"/>
        <v>205.8</v>
      </c>
    </row>
    <row r="752" spans="1:19" x14ac:dyDescent="0.25">
      <c r="A752" s="45" t="s">
        <v>3757</v>
      </c>
      <c r="B752" s="30" t="s">
        <v>3758</v>
      </c>
      <c r="C752" s="30">
        <v>497</v>
      </c>
      <c r="D752" s="32" t="s">
        <v>3760</v>
      </c>
      <c r="E752" s="30" t="s">
        <v>3756</v>
      </c>
      <c r="F752" s="58">
        <v>41950</v>
      </c>
      <c r="G752" s="29">
        <f>84.6</f>
        <v>84.6</v>
      </c>
      <c r="H752" s="9"/>
      <c r="I752" s="139"/>
      <c r="J752" s="9"/>
      <c r="K752" s="8"/>
      <c r="L752" s="9"/>
      <c r="M752" s="9"/>
      <c r="N752" s="9"/>
      <c r="O752" s="9"/>
      <c r="P752" s="9"/>
      <c r="Q752" s="18">
        <f t="shared" si="36"/>
        <v>84.6</v>
      </c>
      <c r="R752" s="18">
        <f t="shared" si="37"/>
        <v>0</v>
      </c>
      <c r="S752" s="18">
        <f t="shared" si="38"/>
        <v>84.6</v>
      </c>
    </row>
    <row r="753" spans="1:19" x14ac:dyDescent="0.25">
      <c r="A753" s="45" t="s">
        <v>3761</v>
      </c>
      <c r="B753" s="30" t="s">
        <v>3762</v>
      </c>
      <c r="C753" s="30">
        <v>498</v>
      </c>
      <c r="D753" s="32" t="s">
        <v>3763</v>
      </c>
      <c r="E753" s="30" t="s">
        <v>3721</v>
      </c>
      <c r="F753" s="58">
        <v>41950</v>
      </c>
      <c r="G753" s="29">
        <f>48</f>
        <v>48</v>
      </c>
      <c r="H753" s="9"/>
      <c r="I753" s="139"/>
      <c r="J753" s="9"/>
      <c r="K753" s="8"/>
      <c r="L753" s="9"/>
      <c r="M753" s="9"/>
      <c r="N753" s="9"/>
      <c r="O753" s="9"/>
      <c r="P753" s="9"/>
      <c r="Q753" s="18">
        <f t="shared" si="36"/>
        <v>48</v>
      </c>
      <c r="R753" s="18">
        <f t="shared" si="37"/>
        <v>0</v>
      </c>
      <c r="S753" s="18">
        <f t="shared" si="38"/>
        <v>48</v>
      </c>
    </row>
    <row r="754" spans="1:19" x14ac:dyDescent="0.25">
      <c r="A754" s="45" t="s">
        <v>3761</v>
      </c>
      <c r="B754" s="30" t="s">
        <v>3762</v>
      </c>
      <c r="C754" s="30">
        <v>498</v>
      </c>
      <c r="D754" s="32" t="s">
        <v>3764</v>
      </c>
      <c r="E754" s="30" t="s">
        <v>3721</v>
      </c>
      <c r="F754" s="58">
        <v>41950</v>
      </c>
      <c r="G754" s="29">
        <f>48</f>
        <v>48</v>
      </c>
      <c r="H754" s="9"/>
      <c r="I754" s="139"/>
      <c r="J754" s="9"/>
      <c r="K754" s="8"/>
      <c r="L754" s="9"/>
      <c r="M754" s="9"/>
      <c r="N754" s="9"/>
      <c r="O754" s="9"/>
      <c r="P754" s="9"/>
      <c r="Q754" s="18">
        <f t="shared" si="36"/>
        <v>48</v>
      </c>
      <c r="R754" s="18">
        <f t="shared" si="37"/>
        <v>0</v>
      </c>
      <c r="S754" s="18">
        <f t="shared" si="38"/>
        <v>48</v>
      </c>
    </row>
    <row r="755" spans="1:19" x14ac:dyDescent="0.25">
      <c r="A755" s="45" t="s">
        <v>3767</v>
      </c>
      <c r="B755" s="30" t="s">
        <v>3768</v>
      </c>
      <c r="C755" s="30">
        <v>499</v>
      </c>
      <c r="D755" s="32" t="s">
        <v>3769</v>
      </c>
      <c r="E755" s="9" t="s">
        <v>3721</v>
      </c>
      <c r="F755" s="58">
        <v>41953</v>
      </c>
      <c r="G755" s="29">
        <f>240+731.01+107.91+47.2+100.72</f>
        <v>1226.8400000000001</v>
      </c>
      <c r="H755" s="7"/>
      <c r="I755" s="141"/>
      <c r="J755" s="7"/>
      <c r="K755" s="69"/>
      <c r="L755" s="7"/>
      <c r="M755" s="7"/>
      <c r="N755" s="7"/>
      <c r="O755" s="7"/>
      <c r="P755" s="7"/>
      <c r="Q755" s="18">
        <f t="shared" si="36"/>
        <v>1226.8400000000001</v>
      </c>
      <c r="R755" s="18">
        <f t="shared" si="37"/>
        <v>0</v>
      </c>
      <c r="S755" s="18">
        <f t="shared" si="38"/>
        <v>1226.8400000000001</v>
      </c>
    </row>
    <row r="756" spans="1:19" x14ac:dyDescent="0.25">
      <c r="A756" s="45" t="s">
        <v>3770</v>
      </c>
      <c r="B756" s="30" t="s">
        <v>3771</v>
      </c>
      <c r="C756" s="30">
        <v>500</v>
      </c>
      <c r="D756" s="32" t="s">
        <v>3772</v>
      </c>
      <c r="E756" s="9" t="s">
        <v>3721</v>
      </c>
      <c r="F756" s="58">
        <v>41954</v>
      </c>
      <c r="G756" s="29">
        <f>217+411.46+86.9+240</f>
        <v>955.36</v>
      </c>
      <c r="H756" s="7"/>
      <c r="I756" s="142">
        <f>750/2</f>
        <v>375</v>
      </c>
      <c r="J756" s="7"/>
      <c r="K756" s="69"/>
      <c r="L756" s="7"/>
      <c r="M756" s="7"/>
      <c r="N756" s="7"/>
      <c r="O756" s="7"/>
      <c r="P756" s="7"/>
      <c r="Q756" s="18">
        <f>+G756+I756+K756+M756+O756</f>
        <v>1330.3600000000001</v>
      </c>
      <c r="R756" s="18">
        <f t="shared" si="37"/>
        <v>0</v>
      </c>
      <c r="S756" s="18">
        <f t="shared" si="38"/>
        <v>1330.3600000000001</v>
      </c>
    </row>
    <row r="757" spans="1:19" x14ac:dyDescent="0.25">
      <c r="A757" s="45" t="s">
        <v>3773</v>
      </c>
      <c r="B757" s="30" t="s">
        <v>3774</v>
      </c>
      <c r="C757" s="30">
        <v>501</v>
      </c>
      <c r="D757" s="32" t="s">
        <v>3775</v>
      </c>
      <c r="E757" s="9" t="s">
        <v>3721</v>
      </c>
      <c r="F757" s="58">
        <v>41955</v>
      </c>
      <c r="G757" s="29">
        <f>467.5+117.52+320</f>
        <v>905.02</v>
      </c>
      <c r="H757" s="7"/>
      <c r="I757" s="142"/>
      <c r="J757" s="7"/>
      <c r="K757" s="69"/>
      <c r="L757" s="7"/>
      <c r="M757" s="7"/>
      <c r="N757" s="7"/>
      <c r="O757" s="7"/>
      <c r="P757" s="7"/>
      <c r="Q757" s="18">
        <f>+G757+I757+K757+M757+O757</f>
        <v>905.02</v>
      </c>
      <c r="R757" s="18"/>
      <c r="S757" s="18"/>
    </row>
    <row r="758" spans="1:19" x14ac:dyDescent="0.25">
      <c r="A758" s="45" t="s">
        <v>3794</v>
      </c>
      <c r="B758" s="30" t="s">
        <v>3795</v>
      </c>
      <c r="C758" s="30">
        <v>502</v>
      </c>
      <c r="D758" s="32" t="s">
        <v>3796</v>
      </c>
      <c r="E758" s="9" t="s">
        <v>3721</v>
      </c>
      <c r="F758" s="58">
        <v>41955</v>
      </c>
      <c r="G758" s="29">
        <f>152.36</f>
        <v>152.36000000000001</v>
      </c>
      <c r="H758" s="7"/>
      <c r="I758" s="141"/>
      <c r="J758" s="7"/>
      <c r="K758" s="69"/>
      <c r="L758" s="7"/>
      <c r="M758" s="7"/>
      <c r="N758" s="7"/>
      <c r="O758" s="7"/>
      <c r="P758" s="7"/>
      <c r="Q758" s="18">
        <f>G758+I758+K758+M758+O758</f>
        <v>152.36000000000001</v>
      </c>
      <c r="R758" s="18">
        <f t="shared" si="37"/>
        <v>0</v>
      </c>
      <c r="S758" s="18">
        <f t="shared" si="38"/>
        <v>152.36000000000001</v>
      </c>
    </row>
    <row r="759" spans="1:19" x14ac:dyDescent="0.25">
      <c r="A759" s="45" t="s">
        <v>3777</v>
      </c>
      <c r="B759" s="30" t="s">
        <v>3778</v>
      </c>
      <c r="C759" s="30">
        <v>503</v>
      </c>
      <c r="D759" s="32" t="s">
        <v>3779</v>
      </c>
      <c r="E759" s="9" t="s">
        <v>2341</v>
      </c>
      <c r="F759" s="58">
        <v>41956</v>
      </c>
      <c r="G759" s="29">
        <f>136.2</f>
        <v>136.19999999999999</v>
      </c>
      <c r="H759" s="7"/>
      <c r="I759" s="141"/>
      <c r="J759" s="7"/>
      <c r="K759" s="69"/>
      <c r="L759" s="7"/>
      <c r="M759" s="7"/>
      <c r="N759" s="7"/>
      <c r="O759" s="7"/>
      <c r="P759" s="7"/>
      <c r="Q759" s="18">
        <f t="shared" si="36"/>
        <v>136.19999999999999</v>
      </c>
      <c r="R759" s="18">
        <f t="shared" si="37"/>
        <v>0</v>
      </c>
      <c r="S759" s="18">
        <f t="shared" si="38"/>
        <v>136.19999999999999</v>
      </c>
    </row>
    <row r="760" spans="1:19" x14ac:dyDescent="0.25">
      <c r="A760" s="45" t="s">
        <v>3780</v>
      </c>
      <c r="B760" s="30" t="s">
        <v>3781</v>
      </c>
      <c r="C760" s="30">
        <v>504</v>
      </c>
      <c r="D760" s="32" t="s">
        <v>3782</v>
      </c>
      <c r="E760" s="9" t="s">
        <v>3721</v>
      </c>
      <c r="F760" s="58">
        <v>41956</v>
      </c>
      <c r="G760" s="29">
        <f>147</f>
        <v>147</v>
      </c>
      <c r="H760" s="7"/>
      <c r="I760" s="141"/>
      <c r="J760" s="7"/>
      <c r="K760" s="69"/>
      <c r="L760" s="7"/>
      <c r="M760" s="7"/>
      <c r="N760" s="7"/>
      <c r="O760" s="7"/>
      <c r="P760" s="7"/>
      <c r="Q760" s="18">
        <f t="shared" si="36"/>
        <v>147</v>
      </c>
      <c r="R760" s="18">
        <f t="shared" si="37"/>
        <v>0</v>
      </c>
      <c r="S760" s="18">
        <f t="shared" si="38"/>
        <v>147</v>
      </c>
    </row>
    <row r="761" spans="1:19" x14ac:dyDescent="0.25">
      <c r="A761" s="45" t="s">
        <v>3783</v>
      </c>
      <c r="B761" s="30" t="s">
        <v>1998</v>
      </c>
      <c r="C761" s="30">
        <v>505</v>
      </c>
      <c r="D761" s="10" t="s">
        <v>3839</v>
      </c>
      <c r="E761" s="9" t="s">
        <v>3721</v>
      </c>
      <c r="F761" s="58">
        <v>41956</v>
      </c>
      <c r="G761" s="29">
        <f>190.3</f>
        <v>190.3</v>
      </c>
      <c r="H761" s="7"/>
      <c r="I761" s="141"/>
      <c r="J761" s="7"/>
      <c r="K761" s="69"/>
      <c r="L761" s="7"/>
      <c r="M761" s="7"/>
      <c r="N761" s="7"/>
      <c r="O761" s="7"/>
      <c r="P761" s="7"/>
      <c r="Q761" s="18">
        <f t="shared" si="36"/>
        <v>190.3</v>
      </c>
      <c r="R761" s="18">
        <f t="shared" si="37"/>
        <v>0</v>
      </c>
      <c r="S761" s="18">
        <f t="shared" si="38"/>
        <v>190.3</v>
      </c>
    </row>
    <row r="762" spans="1:19" x14ac:dyDescent="0.25">
      <c r="A762" s="45" t="s">
        <v>3784</v>
      </c>
      <c r="B762" s="30" t="s">
        <v>3785</v>
      </c>
      <c r="C762" s="30">
        <v>506</v>
      </c>
      <c r="D762" s="32" t="s">
        <v>3786</v>
      </c>
      <c r="E762" s="9" t="s">
        <v>3721</v>
      </c>
      <c r="F762" s="58">
        <v>41957</v>
      </c>
      <c r="G762" s="29">
        <f>147.4</f>
        <v>147.4</v>
      </c>
      <c r="H762" s="7"/>
      <c r="I762" s="141"/>
      <c r="J762" s="7"/>
      <c r="K762" s="69"/>
      <c r="L762" s="7"/>
      <c r="M762" s="7"/>
      <c r="N762" s="7"/>
      <c r="O762" s="7"/>
      <c r="P762" s="7"/>
      <c r="Q762" s="18">
        <f t="shared" si="36"/>
        <v>147.4</v>
      </c>
      <c r="R762" s="18">
        <f t="shared" si="37"/>
        <v>0</v>
      </c>
      <c r="S762" s="18">
        <f t="shared" si="38"/>
        <v>147.4</v>
      </c>
    </row>
    <row r="763" spans="1:19" x14ac:dyDescent="0.25">
      <c r="A763" s="45" t="s">
        <v>3787</v>
      </c>
      <c r="B763" s="30" t="s">
        <v>3788</v>
      </c>
      <c r="C763" s="30">
        <v>507</v>
      </c>
      <c r="D763" s="32" t="s">
        <v>3789</v>
      </c>
      <c r="E763" s="9" t="s">
        <v>3721</v>
      </c>
      <c r="F763" s="58">
        <v>41957</v>
      </c>
      <c r="G763" s="29">
        <f>238+456.5+41.3+71.65+6251.9+41.3+118.66+626.07+41.3+41.3+41.3+106.18+324.68+277.3+41.3+217.3+41.3+41.3+75.83+350+324.96+250+180.25+41.3+41.3+290+261.3+164.89+310.62+481.3+371.3+210</f>
        <v>12371.689999999991</v>
      </c>
      <c r="H763" s="7"/>
      <c r="I763" s="139">
        <f>3800</f>
        <v>3800</v>
      </c>
      <c r="J763" s="7"/>
      <c r="K763" s="69"/>
      <c r="L763" s="7"/>
      <c r="M763" s="7"/>
      <c r="N763" s="7"/>
      <c r="O763" s="7"/>
      <c r="P763" s="7"/>
      <c r="Q763" s="18">
        <f t="shared" si="36"/>
        <v>16171.689999999991</v>
      </c>
      <c r="R763" s="18">
        <f t="shared" si="37"/>
        <v>0</v>
      </c>
      <c r="S763" s="18">
        <f t="shared" si="38"/>
        <v>16171.689999999991</v>
      </c>
    </row>
    <row r="764" spans="1:19" x14ac:dyDescent="0.25">
      <c r="A764" s="45" t="s">
        <v>3797</v>
      </c>
      <c r="B764" s="30" t="s">
        <v>3798</v>
      </c>
      <c r="C764" s="30">
        <v>508</v>
      </c>
      <c r="D764" s="32" t="s">
        <v>3799</v>
      </c>
      <c r="E764" s="9" t="s">
        <v>3721</v>
      </c>
      <c r="F764" s="58">
        <v>41961</v>
      </c>
      <c r="G764" s="29">
        <f>152.48</f>
        <v>152.47999999999999</v>
      </c>
      <c r="H764" s="7"/>
      <c r="I764" s="141"/>
      <c r="J764" s="7"/>
      <c r="K764" s="69"/>
      <c r="L764" s="7"/>
      <c r="M764" s="7"/>
      <c r="N764" s="7"/>
      <c r="O764" s="7"/>
      <c r="P764" s="7"/>
      <c r="Q764" s="18">
        <f t="shared" si="36"/>
        <v>152.47999999999999</v>
      </c>
      <c r="R764" s="18">
        <f t="shared" si="37"/>
        <v>0</v>
      </c>
      <c r="S764" s="18">
        <f t="shared" si="38"/>
        <v>152.47999999999999</v>
      </c>
    </row>
    <row r="765" spans="1:19" x14ac:dyDescent="0.25">
      <c r="A765" s="45" t="s">
        <v>3800</v>
      </c>
      <c r="B765" s="30" t="s">
        <v>3801</v>
      </c>
      <c r="C765" s="30">
        <v>509</v>
      </c>
      <c r="D765" s="32" t="s">
        <v>3802</v>
      </c>
      <c r="E765" s="9" t="s">
        <v>3721</v>
      </c>
      <c r="F765" s="58">
        <v>41961</v>
      </c>
      <c r="G765" s="29">
        <f>152.78+59.09+65.15+47.2+239.9+436.6</f>
        <v>1000.72</v>
      </c>
      <c r="H765" s="7"/>
      <c r="I765" s="139">
        <v>750</v>
      </c>
      <c r="J765" s="7"/>
      <c r="K765" s="69"/>
      <c r="L765" s="7"/>
      <c r="M765" s="7"/>
      <c r="N765" s="7"/>
      <c r="O765" s="7"/>
      <c r="P765" s="7"/>
      <c r="Q765" s="18">
        <f t="shared" si="36"/>
        <v>1750.72</v>
      </c>
      <c r="R765" s="18">
        <f t="shared" si="37"/>
        <v>0</v>
      </c>
      <c r="S765" s="18">
        <f t="shared" si="38"/>
        <v>1750.72</v>
      </c>
    </row>
    <row r="766" spans="1:19" x14ac:dyDescent="0.25">
      <c r="A766" s="45" t="s">
        <v>3803</v>
      </c>
      <c r="B766" s="30" t="s">
        <v>3804</v>
      </c>
      <c r="C766" s="30">
        <v>510</v>
      </c>
      <c r="D766" s="32" t="s">
        <v>3805</v>
      </c>
      <c r="E766" s="9" t="s">
        <v>3721</v>
      </c>
      <c r="F766" s="58">
        <v>41961</v>
      </c>
      <c r="G766" s="29">
        <f>260+238+1193.5</f>
        <v>1691.5</v>
      </c>
      <c r="H766" s="7"/>
      <c r="I766" s="141"/>
      <c r="J766" s="7"/>
      <c r="K766" s="69"/>
      <c r="L766" s="7"/>
      <c r="M766" s="7"/>
      <c r="N766" s="7"/>
      <c r="O766" s="7"/>
      <c r="P766" s="7"/>
      <c r="Q766" s="18">
        <f t="shared" si="36"/>
        <v>1691.5</v>
      </c>
      <c r="R766" s="18">
        <f t="shared" si="37"/>
        <v>0</v>
      </c>
      <c r="S766" s="18">
        <f t="shared" si="38"/>
        <v>1691.5</v>
      </c>
    </row>
    <row r="767" spans="1:19" x14ac:dyDescent="0.25">
      <c r="A767" s="45" t="s">
        <v>3806</v>
      </c>
      <c r="B767" s="30" t="s">
        <v>3807</v>
      </c>
      <c r="C767" s="30">
        <v>511</v>
      </c>
      <c r="D767" s="32" t="s">
        <v>3808</v>
      </c>
      <c r="E767" s="9" t="s">
        <v>3765</v>
      </c>
      <c r="F767" s="58">
        <v>41962</v>
      </c>
      <c r="G767" s="29">
        <f>185.59</f>
        <v>185.59</v>
      </c>
      <c r="H767" s="7"/>
      <c r="I767" s="141"/>
      <c r="J767" s="7"/>
      <c r="K767" s="69"/>
      <c r="L767" s="7"/>
      <c r="M767" s="7"/>
      <c r="N767" s="7"/>
      <c r="O767" s="7"/>
      <c r="P767" s="7"/>
      <c r="Q767" s="18">
        <f t="shared" si="36"/>
        <v>185.59</v>
      </c>
      <c r="R767" s="18">
        <f t="shared" si="37"/>
        <v>0</v>
      </c>
      <c r="S767" s="18">
        <f t="shared" si="38"/>
        <v>185.59</v>
      </c>
    </row>
    <row r="768" spans="1:19" x14ac:dyDescent="0.25">
      <c r="A768" s="45" t="s">
        <v>3809</v>
      </c>
      <c r="B768" s="30" t="s">
        <v>3810</v>
      </c>
      <c r="C768" s="30">
        <v>512</v>
      </c>
      <c r="D768" s="32" t="s">
        <v>3811</v>
      </c>
      <c r="E768" s="9" t="s">
        <v>3721</v>
      </c>
      <c r="F768" s="58">
        <v>41964</v>
      </c>
      <c r="G768" s="29">
        <f>109.1</f>
        <v>109.1</v>
      </c>
      <c r="H768" s="7"/>
      <c r="I768" s="141"/>
      <c r="J768" s="7"/>
      <c r="K768" s="69"/>
      <c r="L768" s="7"/>
      <c r="M768" s="7"/>
      <c r="N768" s="7"/>
      <c r="O768" s="7"/>
      <c r="P768" s="7"/>
      <c r="Q768" s="18">
        <f t="shared" si="36"/>
        <v>109.1</v>
      </c>
      <c r="R768" s="18">
        <f t="shared" si="37"/>
        <v>0</v>
      </c>
      <c r="S768" s="18">
        <f t="shared" si="38"/>
        <v>109.1</v>
      </c>
    </row>
    <row r="769" spans="1:19" x14ac:dyDescent="0.25">
      <c r="A769" s="45" t="s">
        <v>3809</v>
      </c>
      <c r="B769" s="30" t="s">
        <v>3810</v>
      </c>
      <c r="C769" s="30">
        <v>512</v>
      </c>
      <c r="D769" s="32" t="s">
        <v>3812</v>
      </c>
      <c r="E769" s="9" t="s">
        <v>3721</v>
      </c>
      <c r="F769" s="58">
        <v>41964</v>
      </c>
      <c r="G769" s="29">
        <f>385.5</f>
        <v>385.5</v>
      </c>
      <c r="H769" s="7"/>
      <c r="I769" s="141"/>
      <c r="J769" s="7"/>
      <c r="K769" s="69"/>
      <c r="L769" s="7"/>
      <c r="M769" s="7"/>
      <c r="N769" s="7"/>
      <c r="O769" s="7"/>
      <c r="P769" s="7"/>
      <c r="Q769" s="18">
        <f t="shared" si="36"/>
        <v>385.5</v>
      </c>
      <c r="R769" s="18">
        <f t="shared" si="37"/>
        <v>0</v>
      </c>
      <c r="S769" s="18">
        <f t="shared" si="38"/>
        <v>385.5</v>
      </c>
    </row>
    <row r="770" spans="1:19" x14ac:dyDescent="0.25">
      <c r="A770" s="45" t="s">
        <v>3813</v>
      </c>
      <c r="B770" s="30" t="s">
        <v>3814</v>
      </c>
      <c r="C770" s="30">
        <v>513</v>
      </c>
      <c r="D770" s="32" t="s">
        <v>3815</v>
      </c>
      <c r="E770" s="9" t="s">
        <v>3721</v>
      </c>
      <c r="F770" s="58">
        <v>41964</v>
      </c>
      <c r="G770" s="29">
        <f>3727+35</f>
        <v>3762</v>
      </c>
      <c r="H770" s="7"/>
      <c r="I770" s="141"/>
      <c r="J770" s="7"/>
      <c r="K770" s="69"/>
      <c r="L770" s="7"/>
      <c r="M770" s="7"/>
      <c r="N770" s="7"/>
      <c r="O770" s="7"/>
      <c r="P770" s="7"/>
      <c r="Q770" s="18">
        <f t="shared" si="36"/>
        <v>3762</v>
      </c>
      <c r="R770" s="18">
        <f t="shared" si="37"/>
        <v>0</v>
      </c>
      <c r="S770" s="18">
        <f t="shared" si="38"/>
        <v>3762</v>
      </c>
    </row>
    <row r="771" spans="1:19" x14ac:dyDescent="0.25">
      <c r="A771" s="45" t="s">
        <v>3813</v>
      </c>
      <c r="B771" s="30" t="s">
        <v>3814</v>
      </c>
      <c r="C771" s="30">
        <v>513</v>
      </c>
      <c r="D771" s="32" t="s">
        <v>3816</v>
      </c>
      <c r="E771" s="9" t="s">
        <v>3721</v>
      </c>
      <c r="F771" s="58">
        <v>41964</v>
      </c>
      <c r="G771" s="29">
        <f>71.7</f>
        <v>71.7</v>
      </c>
      <c r="H771" s="7"/>
      <c r="I771" s="141"/>
      <c r="J771" s="7"/>
      <c r="K771" s="69"/>
      <c r="L771" s="7"/>
      <c r="M771" s="7"/>
      <c r="N771" s="7"/>
      <c r="O771" s="7"/>
      <c r="P771" s="7"/>
      <c r="Q771" s="18">
        <f t="shared" si="36"/>
        <v>71.7</v>
      </c>
      <c r="R771" s="18">
        <f t="shared" si="37"/>
        <v>0</v>
      </c>
      <c r="S771" s="18">
        <f t="shared" si="38"/>
        <v>71.7</v>
      </c>
    </row>
    <row r="772" spans="1:19" x14ac:dyDescent="0.25">
      <c r="A772" s="45" t="s">
        <v>3813</v>
      </c>
      <c r="B772" s="30" t="s">
        <v>3814</v>
      </c>
      <c r="C772" s="30">
        <v>513</v>
      </c>
      <c r="D772" s="32" t="s">
        <v>4060</v>
      </c>
      <c r="E772" s="9" t="s">
        <v>3721</v>
      </c>
      <c r="F772" s="58">
        <v>41964</v>
      </c>
      <c r="G772" s="29">
        <f>177.6</f>
        <v>177.6</v>
      </c>
      <c r="H772" s="7"/>
      <c r="I772" s="141"/>
      <c r="J772" s="7"/>
      <c r="K772" s="69"/>
      <c r="L772" s="7"/>
      <c r="M772" s="8">
        <v>3800</v>
      </c>
      <c r="N772" s="7"/>
      <c r="O772" s="8">
        <v>15200</v>
      </c>
      <c r="P772" s="7"/>
      <c r="Q772" s="18">
        <f t="shared" si="36"/>
        <v>19177.599999999999</v>
      </c>
      <c r="R772" s="18">
        <f t="shared" si="37"/>
        <v>0</v>
      </c>
      <c r="S772" s="18">
        <f t="shared" si="38"/>
        <v>19177.599999999999</v>
      </c>
    </row>
    <row r="773" spans="1:19" x14ac:dyDescent="0.25">
      <c r="A773" s="45" t="s">
        <v>3817</v>
      </c>
      <c r="B773" s="30" t="s">
        <v>3818</v>
      </c>
      <c r="C773" s="30">
        <v>514</v>
      </c>
      <c r="D773" s="32" t="s">
        <v>3819</v>
      </c>
      <c r="E773" s="9" t="s">
        <v>3721</v>
      </c>
      <c r="F773" s="58">
        <v>41964</v>
      </c>
      <c r="G773" s="29">
        <f>49.7</f>
        <v>49.7</v>
      </c>
      <c r="H773" s="7"/>
      <c r="I773" s="141"/>
      <c r="J773" s="7"/>
      <c r="K773" s="69"/>
      <c r="L773" s="7"/>
      <c r="M773" s="7"/>
      <c r="N773" s="7"/>
      <c r="O773" s="7"/>
      <c r="P773" s="7"/>
      <c r="Q773" s="18">
        <f t="shared" si="36"/>
        <v>49.7</v>
      </c>
      <c r="R773" s="18">
        <f t="shared" si="37"/>
        <v>0</v>
      </c>
      <c r="S773" s="18">
        <f t="shared" si="38"/>
        <v>49.7</v>
      </c>
    </row>
    <row r="774" spans="1:19" x14ac:dyDescent="0.25">
      <c r="A774" s="45" t="s">
        <v>3820</v>
      </c>
      <c r="B774" s="30" t="s">
        <v>3821</v>
      </c>
      <c r="C774" s="30">
        <v>515</v>
      </c>
      <c r="D774" s="32" t="s">
        <v>3822</v>
      </c>
      <c r="E774" s="9" t="s">
        <v>3721</v>
      </c>
      <c r="F774" s="58">
        <v>41964</v>
      </c>
      <c r="G774" s="29">
        <f>100</f>
        <v>100</v>
      </c>
      <c r="H774" s="7"/>
      <c r="I774" s="141"/>
      <c r="J774" s="7"/>
      <c r="K774" s="69"/>
      <c r="L774" s="7"/>
      <c r="M774" s="7"/>
      <c r="N774" s="7"/>
      <c r="O774" s="7"/>
      <c r="P774" s="7"/>
      <c r="Q774" s="18">
        <f t="shared" si="36"/>
        <v>100</v>
      </c>
      <c r="R774" s="18">
        <f t="shared" si="37"/>
        <v>0</v>
      </c>
      <c r="S774" s="18">
        <f t="shared" si="38"/>
        <v>100</v>
      </c>
    </row>
    <row r="775" spans="1:19" x14ac:dyDescent="0.25">
      <c r="A775" s="45" t="s">
        <v>3823</v>
      </c>
      <c r="B775" s="30" t="s">
        <v>3824</v>
      </c>
      <c r="C775" s="30">
        <v>516</v>
      </c>
      <c r="D775" s="32" t="s">
        <v>3825</v>
      </c>
      <c r="E775" s="9" t="s">
        <v>3721</v>
      </c>
      <c r="F775" s="58">
        <v>41964</v>
      </c>
      <c r="G775" s="29">
        <f>83</f>
        <v>83</v>
      </c>
      <c r="H775" s="7"/>
      <c r="I775" s="141"/>
      <c r="J775" s="7"/>
      <c r="K775" s="69"/>
      <c r="L775" s="7"/>
      <c r="M775" s="7"/>
      <c r="N775" s="7"/>
      <c r="O775" s="7"/>
      <c r="P775" s="7"/>
      <c r="Q775" s="18">
        <f t="shared" si="36"/>
        <v>83</v>
      </c>
      <c r="R775" s="18">
        <f t="shared" si="37"/>
        <v>0</v>
      </c>
      <c r="S775" s="18">
        <f t="shared" si="38"/>
        <v>83</v>
      </c>
    </row>
    <row r="776" spans="1:19" x14ac:dyDescent="0.25">
      <c r="A776" s="45" t="s">
        <v>3840</v>
      </c>
      <c r="B776" s="30" t="s">
        <v>3841</v>
      </c>
      <c r="C776" s="30">
        <v>517</v>
      </c>
      <c r="D776" s="32" t="s">
        <v>3842</v>
      </c>
      <c r="E776" s="9" t="s">
        <v>3721</v>
      </c>
      <c r="F776" s="58">
        <v>41968</v>
      </c>
      <c r="G776" s="29">
        <f>238+373.8+41.3+41.3+41.3+70</f>
        <v>805.69999999999982</v>
      </c>
      <c r="H776" s="7"/>
      <c r="I776" s="139">
        <v>500</v>
      </c>
      <c r="J776" s="7"/>
      <c r="K776" s="69"/>
      <c r="L776" s="7"/>
      <c r="M776" s="7"/>
      <c r="N776" s="7"/>
      <c r="O776" s="7"/>
      <c r="P776" s="7"/>
      <c r="Q776" s="18">
        <f t="shared" si="36"/>
        <v>1305.6999999999998</v>
      </c>
      <c r="R776" s="18">
        <f t="shared" si="37"/>
        <v>0</v>
      </c>
      <c r="S776" s="18">
        <f t="shared" si="38"/>
        <v>1305.6999999999998</v>
      </c>
    </row>
    <row r="777" spans="1:19" x14ac:dyDescent="0.25">
      <c r="A777" s="45" t="s">
        <v>3843</v>
      </c>
      <c r="B777" s="30" t="s">
        <v>3844</v>
      </c>
      <c r="C777" s="30">
        <v>518</v>
      </c>
      <c r="D777" s="32" t="s">
        <v>3845</v>
      </c>
      <c r="E777" s="9" t="s">
        <v>3721</v>
      </c>
      <c r="F777" s="58">
        <v>41969</v>
      </c>
      <c r="G777" s="29">
        <f>127.1</f>
        <v>127.1</v>
      </c>
      <c r="H777" s="7"/>
      <c r="I777" s="141"/>
      <c r="J777" s="7"/>
      <c r="K777" s="69"/>
      <c r="L777" s="7"/>
      <c r="M777" s="7"/>
      <c r="N777" s="7"/>
      <c r="O777" s="7"/>
      <c r="P777" s="7"/>
      <c r="Q777" s="18">
        <f t="shared" si="36"/>
        <v>127.1</v>
      </c>
      <c r="R777" s="18">
        <f t="shared" si="37"/>
        <v>0</v>
      </c>
      <c r="S777" s="18">
        <f t="shared" si="38"/>
        <v>127.1</v>
      </c>
    </row>
    <row r="778" spans="1:19" x14ac:dyDescent="0.25">
      <c r="A778" s="45" t="s">
        <v>3843</v>
      </c>
      <c r="B778" s="30" t="s">
        <v>3844</v>
      </c>
      <c r="C778" s="30">
        <v>518</v>
      </c>
      <c r="D778" s="32" t="s">
        <v>3846</v>
      </c>
      <c r="E778" s="9" t="s">
        <v>3721</v>
      </c>
      <c r="F778" s="58">
        <v>41969</v>
      </c>
      <c r="G778" s="29">
        <f>41.3+132.1+558+111.92+41.3+163.89+154.33+41.3+240+558+5564.43+64.84+41.3+41.3+288.68+41.3+167.34</f>
        <v>8251.33</v>
      </c>
      <c r="H778" s="7"/>
      <c r="I778" s="139">
        <f>750</f>
        <v>750</v>
      </c>
      <c r="J778" s="7"/>
      <c r="K778" s="69"/>
      <c r="L778" s="7"/>
      <c r="M778" s="7"/>
      <c r="N778" s="7"/>
      <c r="O778" s="7"/>
      <c r="P778" s="7"/>
      <c r="Q778" s="18">
        <f t="shared" si="36"/>
        <v>9001.33</v>
      </c>
      <c r="R778" s="18">
        <f t="shared" si="37"/>
        <v>0</v>
      </c>
      <c r="S778" s="18">
        <f t="shared" si="38"/>
        <v>9001.33</v>
      </c>
    </row>
    <row r="779" spans="1:19" x14ac:dyDescent="0.25">
      <c r="A779" s="45" t="s">
        <v>3847</v>
      </c>
      <c r="B779" s="30" t="s">
        <v>3848</v>
      </c>
      <c r="C779" s="30">
        <v>519</v>
      </c>
      <c r="D779" s="32" t="s">
        <v>3849</v>
      </c>
      <c r="E779" s="9" t="s">
        <v>3721</v>
      </c>
      <c r="F779" s="58">
        <v>41971</v>
      </c>
      <c r="G779" s="29">
        <f>238+223</f>
        <v>461</v>
      </c>
      <c r="H779" s="7"/>
      <c r="I779" s="141"/>
      <c r="J779" s="7"/>
      <c r="K779" s="69"/>
      <c r="L779" s="7"/>
      <c r="M779" s="7"/>
      <c r="N779" s="7"/>
      <c r="O779" s="7"/>
      <c r="P779" s="7"/>
      <c r="Q779" s="18">
        <f t="shared" si="36"/>
        <v>461</v>
      </c>
      <c r="R779" s="18">
        <f t="shared" si="37"/>
        <v>0</v>
      </c>
      <c r="S779" s="18">
        <f t="shared" si="38"/>
        <v>461</v>
      </c>
    </row>
    <row r="780" spans="1:19" x14ac:dyDescent="0.25">
      <c r="A780" s="45" t="s">
        <v>327</v>
      </c>
      <c r="B780" s="30" t="s">
        <v>328</v>
      </c>
      <c r="C780" s="30">
        <v>520</v>
      </c>
      <c r="D780" s="32" t="s">
        <v>3850</v>
      </c>
      <c r="E780" s="9" t="s">
        <v>3721</v>
      </c>
      <c r="F780" s="58">
        <v>41971</v>
      </c>
      <c r="G780" s="29">
        <f>83.6</f>
        <v>83.6</v>
      </c>
      <c r="H780" s="7"/>
      <c r="I780" s="139">
        <v>200</v>
      </c>
      <c r="J780" s="7"/>
      <c r="K780" s="69"/>
      <c r="L780" s="7"/>
      <c r="M780" s="7"/>
      <c r="N780" s="7"/>
      <c r="O780" s="7"/>
      <c r="P780" s="7"/>
      <c r="Q780" s="18">
        <f t="shared" si="36"/>
        <v>283.60000000000002</v>
      </c>
      <c r="R780" s="18">
        <f t="shared" si="37"/>
        <v>0</v>
      </c>
      <c r="S780" s="18">
        <f t="shared" si="38"/>
        <v>283.60000000000002</v>
      </c>
    </row>
    <row r="781" spans="1:19" x14ac:dyDescent="0.25">
      <c r="A781" s="45" t="s">
        <v>3851</v>
      </c>
      <c r="B781" s="30" t="s">
        <v>3852</v>
      </c>
      <c r="C781" s="30">
        <v>521</v>
      </c>
      <c r="D781" s="32" t="s">
        <v>3853</v>
      </c>
      <c r="E781" s="9" t="s">
        <v>3721</v>
      </c>
      <c r="F781" s="58">
        <v>41971</v>
      </c>
      <c r="G781" s="29">
        <f>392.76</f>
        <v>392.76</v>
      </c>
      <c r="H781" s="7"/>
      <c r="I781" s="141"/>
      <c r="J781" s="7"/>
      <c r="K781" s="69"/>
      <c r="L781" s="7"/>
      <c r="M781" s="7"/>
      <c r="N781" s="7"/>
      <c r="O781" s="7"/>
      <c r="P781" s="7"/>
      <c r="Q781" s="18">
        <f t="shared" si="36"/>
        <v>392.76</v>
      </c>
      <c r="R781" s="18">
        <f t="shared" si="37"/>
        <v>0</v>
      </c>
      <c r="S781" s="18">
        <f t="shared" si="38"/>
        <v>392.76</v>
      </c>
    </row>
    <row r="782" spans="1:19" x14ac:dyDescent="0.25">
      <c r="A782" s="45" t="s">
        <v>3854</v>
      </c>
      <c r="B782" s="30" t="s">
        <v>3855</v>
      </c>
      <c r="C782" s="30">
        <v>522</v>
      </c>
      <c r="D782" s="32" t="s">
        <v>3856</v>
      </c>
      <c r="E782" s="9" t="s">
        <v>3721</v>
      </c>
      <c r="F782" s="58">
        <v>41971</v>
      </c>
      <c r="G782" s="29">
        <f>125.49</f>
        <v>125.49</v>
      </c>
      <c r="H782" s="7"/>
      <c r="I782" s="141"/>
      <c r="J782" s="7"/>
      <c r="K782" s="69"/>
      <c r="L782" s="7"/>
      <c r="M782" s="7"/>
      <c r="N782" s="7"/>
      <c r="O782" s="7"/>
      <c r="P782" s="7"/>
      <c r="Q782" s="18">
        <f t="shared" si="36"/>
        <v>125.49</v>
      </c>
      <c r="R782" s="18">
        <f t="shared" si="37"/>
        <v>0</v>
      </c>
      <c r="S782" s="18">
        <f t="shared" si="38"/>
        <v>125.49</v>
      </c>
    </row>
    <row r="783" spans="1:19" x14ac:dyDescent="0.25">
      <c r="A783" s="45" t="s">
        <v>3857</v>
      </c>
      <c r="B783" s="30" t="s">
        <v>3858</v>
      </c>
      <c r="C783" s="30">
        <v>523</v>
      </c>
      <c r="D783" s="32" t="s">
        <v>3859</v>
      </c>
      <c r="E783" s="9" t="s">
        <v>3721</v>
      </c>
      <c r="F783" s="58">
        <v>41971</v>
      </c>
      <c r="G783" s="29">
        <f>463.39</f>
        <v>463.39</v>
      </c>
      <c r="H783" s="7"/>
      <c r="I783" s="141"/>
      <c r="J783" s="7"/>
      <c r="K783" s="69"/>
      <c r="L783" s="7"/>
      <c r="M783" s="7"/>
      <c r="N783" s="7"/>
      <c r="O783" s="7"/>
      <c r="P783" s="7"/>
      <c r="Q783" s="18">
        <f t="shared" si="36"/>
        <v>463.39</v>
      </c>
      <c r="R783" s="18">
        <f t="shared" si="37"/>
        <v>0</v>
      </c>
      <c r="S783" s="18">
        <f t="shared" si="38"/>
        <v>463.39</v>
      </c>
    </row>
    <row r="784" spans="1:19" x14ac:dyDescent="0.25">
      <c r="A784" s="45" t="s">
        <v>3860</v>
      </c>
      <c r="B784" s="30" t="s">
        <v>3861</v>
      </c>
      <c r="C784" s="30">
        <v>524</v>
      </c>
      <c r="D784" s="32" t="s">
        <v>3862</v>
      </c>
      <c r="E784" s="9" t="s">
        <v>3721</v>
      </c>
      <c r="F784" s="58">
        <v>41971</v>
      </c>
      <c r="G784" s="29">
        <f>231.28</f>
        <v>231.28</v>
      </c>
      <c r="H784" s="7"/>
      <c r="I784" s="141"/>
      <c r="J784" s="7"/>
      <c r="K784" s="69"/>
      <c r="L784" s="7"/>
      <c r="M784" s="7"/>
      <c r="N784" s="7"/>
      <c r="O784" s="7"/>
      <c r="P784" s="7"/>
      <c r="Q784" s="18">
        <f t="shared" si="36"/>
        <v>231.28</v>
      </c>
      <c r="R784" s="18">
        <f t="shared" si="37"/>
        <v>0</v>
      </c>
      <c r="S784" s="18">
        <f t="shared" si="38"/>
        <v>231.28</v>
      </c>
    </row>
    <row r="785" spans="1:19" x14ac:dyDescent="0.25">
      <c r="A785" s="45" t="s">
        <v>3863</v>
      </c>
      <c r="B785" s="30" t="s">
        <v>3864</v>
      </c>
      <c r="C785" s="30">
        <v>525</v>
      </c>
      <c r="D785" s="32" t="s">
        <v>3865</v>
      </c>
      <c r="E785" s="9" t="s">
        <v>3721</v>
      </c>
      <c r="F785" s="58">
        <v>41971</v>
      </c>
      <c r="G785" s="29">
        <f>98.53</f>
        <v>98.53</v>
      </c>
      <c r="H785" s="7"/>
      <c r="I785" s="141"/>
      <c r="J785" s="7"/>
      <c r="K785" s="69"/>
      <c r="L785" s="7"/>
      <c r="M785" s="7"/>
      <c r="N785" s="7"/>
      <c r="O785" s="7"/>
      <c r="P785" s="7"/>
      <c r="Q785" s="18">
        <f t="shared" si="36"/>
        <v>98.53</v>
      </c>
      <c r="R785" s="18">
        <f t="shared" si="37"/>
        <v>0</v>
      </c>
      <c r="S785" s="18">
        <f t="shared" si="38"/>
        <v>98.53</v>
      </c>
    </row>
    <row r="786" spans="1:19" x14ac:dyDescent="0.25">
      <c r="A786" s="45" t="s">
        <v>3866</v>
      </c>
      <c r="B786" s="30" t="s">
        <v>3867</v>
      </c>
      <c r="C786" s="30">
        <v>526</v>
      </c>
      <c r="D786" s="32" t="s">
        <v>3868</v>
      </c>
      <c r="E786" s="9" t="s">
        <v>3721</v>
      </c>
      <c r="F786" s="58">
        <v>41971</v>
      </c>
      <c r="G786" s="29">
        <f>141.01</f>
        <v>141.01</v>
      </c>
      <c r="H786" s="7"/>
      <c r="I786" s="141"/>
      <c r="J786" s="7"/>
      <c r="K786" s="69"/>
      <c r="L786" s="7"/>
      <c r="M786" s="7"/>
      <c r="N786" s="7"/>
      <c r="O786" s="7"/>
      <c r="P786" s="7"/>
      <c r="Q786" s="18">
        <f t="shared" ref="Q786:Q849" si="39">+G786+I786+K786+M786+O786</f>
        <v>141.01</v>
      </c>
      <c r="R786" s="18">
        <f t="shared" ref="R786:R849" si="40">+H786+J786+L786+N786+P786</f>
        <v>0</v>
      </c>
      <c r="S786" s="18">
        <f t="shared" ref="S786:S849" si="41">+Q786+R786</f>
        <v>141.01</v>
      </c>
    </row>
    <row r="787" spans="1:19" x14ac:dyDescent="0.25">
      <c r="A787" s="45" t="s">
        <v>3869</v>
      </c>
      <c r="B787" s="30" t="s">
        <v>3870</v>
      </c>
      <c r="C787" s="30">
        <v>527</v>
      </c>
      <c r="D787" s="32" t="s">
        <v>3871</v>
      </c>
      <c r="E787" s="9" t="s">
        <v>3721</v>
      </c>
      <c r="F787" s="58">
        <v>41971</v>
      </c>
      <c r="G787" s="29">
        <f>47.2</f>
        <v>47.2</v>
      </c>
      <c r="H787" s="7"/>
      <c r="I787" s="141"/>
      <c r="J787" s="7"/>
      <c r="K787" s="69"/>
      <c r="L787" s="7"/>
      <c r="M787" s="7"/>
      <c r="N787" s="7"/>
      <c r="O787" s="7"/>
      <c r="P787" s="7"/>
      <c r="Q787" s="18">
        <f t="shared" si="39"/>
        <v>47.2</v>
      </c>
      <c r="R787" s="18">
        <f t="shared" si="40"/>
        <v>0</v>
      </c>
      <c r="S787" s="18">
        <f t="shared" si="41"/>
        <v>47.2</v>
      </c>
    </row>
    <row r="788" spans="1:19" x14ac:dyDescent="0.25">
      <c r="A788" s="45" t="s">
        <v>3869</v>
      </c>
      <c r="B788" s="30" t="s">
        <v>3870</v>
      </c>
      <c r="C788" s="30">
        <v>527</v>
      </c>
      <c r="D788" s="32" t="s">
        <v>3872</v>
      </c>
      <c r="E788" s="9" t="s">
        <v>3721</v>
      </c>
      <c r="F788" s="58">
        <v>41971</v>
      </c>
      <c r="G788" s="29">
        <f>47.2</f>
        <v>47.2</v>
      </c>
      <c r="H788" s="7"/>
      <c r="I788" s="141"/>
      <c r="J788" s="7"/>
      <c r="K788" s="69"/>
      <c r="L788" s="7"/>
      <c r="M788" s="7"/>
      <c r="N788" s="7"/>
      <c r="O788" s="7"/>
      <c r="P788" s="7"/>
      <c r="Q788" s="18">
        <f t="shared" si="39"/>
        <v>47.2</v>
      </c>
      <c r="R788" s="18">
        <f t="shared" si="40"/>
        <v>0</v>
      </c>
      <c r="S788" s="18">
        <f t="shared" si="41"/>
        <v>47.2</v>
      </c>
    </row>
    <row r="789" spans="1:19" x14ac:dyDescent="0.25">
      <c r="A789" s="45" t="s">
        <v>3869</v>
      </c>
      <c r="B789" s="30" t="s">
        <v>3870</v>
      </c>
      <c r="C789" s="30">
        <v>527</v>
      </c>
      <c r="D789" s="32" t="s">
        <v>3873</v>
      </c>
      <c r="E789" s="9" t="s">
        <v>3721</v>
      </c>
      <c r="F789" s="58">
        <v>41971</v>
      </c>
      <c r="G789" s="29">
        <f>47.2</f>
        <v>47.2</v>
      </c>
      <c r="H789" s="7"/>
      <c r="I789" s="141"/>
      <c r="J789" s="7"/>
      <c r="K789" s="69"/>
      <c r="L789" s="7"/>
      <c r="M789" s="7"/>
      <c r="N789" s="7"/>
      <c r="O789" s="7"/>
      <c r="P789" s="7"/>
      <c r="Q789" s="18">
        <f t="shared" si="39"/>
        <v>47.2</v>
      </c>
      <c r="R789" s="18">
        <f t="shared" si="40"/>
        <v>0</v>
      </c>
      <c r="S789" s="18">
        <f t="shared" si="41"/>
        <v>47.2</v>
      </c>
    </row>
    <row r="790" spans="1:19" x14ac:dyDescent="0.25">
      <c r="A790" s="45" t="s">
        <v>3869</v>
      </c>
      <c r="B790" s="30" t="s">
        <v>3870</v>
      </c>
      <c r="C790" s="30">
        <v>527</v>
      </c>
      <c r="D790" s="32" t="s">
        <v>3874</v>
      </c>
      <c r="E790" s="9" t="s">
        <v>3721</v>
      </c>
      <c r="F790" s="58">
        <v>41971</v>
      </c>
      <c r="G790" s="29">
        <f>47.2</f>
        <v>47.2</v>
      </c>
      <c r="H790" s="7"/>
      <c r="I790" s="141"/>
      <c r="J790" s="7"/>
      <c r="K790" s="69"/>
      <c r="L790" s="7"/>
      <c r="M790" s="7"/>
      <c r="N790" s="7"/>
      <c r="O790" s="7"/>
      <c r="P790" s="7"/>
      <c r="Q790" s="18">
        <f t="shared" si="39"/>
        <v>47.2</v>
      </c>
      <c r="R790" s="18">
        <f t="shared" si="40"/>
        <v>0</v>
      </c>
      <c r="S790" s="18">
        <f t="shared" si="41"/>
        <v>47.2</v>
      </c>
    </row>
    <row r="791" spans="1:19" x14ac:dyDescent="0.25">
      <c r="A791" s="45" t="s">
        <v>3875</v>
      </c>
      <c r="B791" s="30" t="s">
        <v>3876</v>
      </c>
      <c r="C791" s="30">
        <v>528</v>
      </c>
      <c r="D791" s="32" t="s">
        <v>3877</v>
      </c>
      <c r="E791" s="9" t="s">
        <v>3878</v>
      </c>
      <c r="F791" s="58">
        <v>41974</v>
      </c>
      <c r="G791" s="29">
        <f>42.8+95</f>
        <v>137.80000000000001</v>
      </c>
      <c r="H791" s="7"/>
      <c r="I791" s="141"/>
      <c r="J791" s="7"/>
      <c r="K791" s="69"/>
      <c r="L791" s="7"/>
      <c r="M791" s="7"/>
      <c r="N791" s="7"/>
      <c r="O791" s="7"/>
      <c r="P791" s="7"/>
      <c r="Q791" s="18">
        <f t="shared" si="39"/>
        <v>137.80000000000001</v>
      </c>
      <c r="R791" s="18">
        <f t="shared" si="40"/>
        <v>0</v>
      </c>
      <c r="S791" s="18">
        <f t="shared" si="41"/>
        <v>137.80000000000001</v>
      </c>
    </row>
    <row r="792" spans="1:19" x14ac:dyDescent="0.25">
      <c r="A792" s="45" t="s">
        <v>3879</v>
      </c>
      <c r="B792" s="30" t="s">
        <v>3880</v>
      </c>
      <c r="C792" s="30">
        <v>529</v>
      </c>
      <c r="D792" s="32" t="s">
        <v>3881</v>
      </c>
      <c r="E792" s="9" t="s">
        <v>3721</v>
      </c>
      <c r="F792" s="58">
        <v>41974</v>
      </c>
      <c r="G792" s="29">
        <f>114.5+169.45</f>
        <v>283.95</v>
      </c>
      <c r="H792" s="7"/>
      <c r="I792" s="141"/>
      <c r="J792" s="7"/>
      <c r="K792" s="69"/>
      <c r="L792" s="7"/>
      <c r="M792" s="7"/>
      <c r="N792" s="7"/>
      <c r="O792" s="7"/>
      <c r="P792" s="7"/>
      <c r="Q792" s="18">
        <f t="shared" si="39"/>
        <v>283.95</v>
      </c>
      <c r="R792" s="18">
        <f t="shared" si="40"/>
        <v>0</v>
      </c>
      <c r="S792" s="18">
        <f t="shared" si="41"/>
        <v>283.95</v>
      </c>
    </row>
    <row r="793" spans="1:19" x14ac:dyDescent="0.25">
      <c r="A793" s="45" t="s">
        <v>3882</v>
      </c>
      <c r="B793" s="30" t="s">
        <v>3883</v>
      </c>
      <c r="C793" s="30">
        <v>530</v>
      </c>
      <c r="D793" s="32" t="s">
        <v>3884</v>
      </c>
      <c r="E793" s="9" t="s">
        <v>3721</v>
      </c>
      <c r="F793" s="58">
        <v>41974</v>
      </c>
      <c r="G793" s="29"/>
      <c r="H793" s="7"/>
      <c r="I793" s="141"/>
      <c r="J793" s="7"/>
      <c r="K793" s="69"/>
      <c r="L793" s="7"/>
      <c r="M793" s="7"/>
      <c r="N793" s="7"/>
      <c r="O793" s="7"/>
      <c r="P793" s="7"/>
      <c r="Q793" s="18">
        <f t="shared" si="39"/>
        <v>0</v>
      </c>
      <c r="R793" s="18">
        <f t="shared" si="40"/>
        <v>0</v>
      </c>
      <c r="S793" s="18">
        <f t="shared" si="41"/>
        <v>0</v>
      </c>
    </row>
    <row r="794" spans="1:19" x14ac:dyDescent="0.25">
      <c r="A794" s="45" t="s">
        <v>3885</v>
      </c>
      <c r="B794" s="30" t="s">
        <v>3886</v>
      </c>
      <c r="C794" s="30">
        <v>531</v>
      </c>
      <c r="D794" s="32" t="s">
        <v>3887</v>
      </c>
      <c r="E794" s="9" t="s">
        <v>3721</v>
      </c>
      <c r="F794" s="58">
        <v>41974</v>
      </c>
      <c r="G794" s="29">
        <f>276+35</f>
        <v>311</v>
      </c>
      <c r="H794" s="7"/>
      <c r="I794" s="142">
        <f>750/30*7</f>
        <v>175</v>
      </c>
      <c r="J794" s="7"/>
      <c r="K794" s="69"/>
      <c r="L794" s="7"/>
      <c r="M794" s="7"/>
      <c r="N794" s="7"/>
      <c r="O794" s="7"/>
      <c r="P794" s="7"/>
      <c r="Q794" s="18">
        <f t="shared" si="39"/>
        <v>486</v>
      </c>
      <c r="R794" s="18">
        <f t="shared" si="40"/>
        <v>0</v>
      </c>
      <c r="S794" s="18">
        <f t="shared" si="41"/>
        <v>486</v>
      </c>
    </row>
    <row r="795" spans="1:19" x14ac:dyDescent="0.25">
      <c r="A795" s="45" t="s">
        <v>3888</v>
      </c>
      <c r="B795" s="30" t="s">
        <v>3889</v>
      </c>
      <c r="C795" s="30">
        <v>532</v>
      </c>
      <c r="D795" s="32" t="s">
        <v>3890</v>
      </c>
      <c r="E795" s="9" t="s">
        <v>3765</v>
      </c>
      <c r="F795" s="58">
        <v>41974</v>
      </c>
      <c r="G795" s="29">
        <f>5492+361+131+1360.71+41.3+41.3+74.9+220+136.75+41.3+335+335+41.3+41.3+335+150+3640.4+41.3</f>
        <v>12819.559999999998</v>
      </c>
      <c r="H795" s="7"/>
      <c r="I795" s="142">
        <v>3800</v>
      </c>
      <c r="J795" s="7"/>
      <c r="K795" s="62">
        <v>2280</v>
      </c>
      <c r="L795" s="7"/>
      <c r="M795" s="7"/>
      <c r="N795" s="7"/>
      <c r="O795" s="7"/>
      <c r="P795" s="7"/>
      <c r="Q795" s="18">
        <f t="shared" si="39"/>
        <v>18899.559999999998</v>
      </c>
      <c r="R795" s="18">
        <f t="shared" si="40"/>
        <v>0</v>
      </c>
      <c r="S795" s="18">
        <f t="shared" si="41"/>
        <v>18899.559999999998</v>
      </c>
    </row>
    <row r="796" spans="1:19" x14ac:dyDescent="0.25">
      <c r="A796" s="45" t="s">
        <v>3891</v>
      </c>
      <c r="B796" s="30" t="s">
        <v>3892</v>
      </c>
      <c r="C796" s="30">
        <v>533</v>
      </c>
      <c r="D796" s="32" t="s">
        <v>3893</v>
      </c>
      <c r="E796" s="9" t="s">
        <v>3721</v>
      </c>
      <c r="F796" s="58">
        <v>41975</v>
      </c>
      <c r="G796" s="29">
        <f>10749.74+116.48+149.32+254.59+63+255.27+1051.14+41.3+63+41.3+2048.22+41.3</f>
        <v>14874.659999999996</v>
      </c>
      <c r="H796" s="7"/>
      <c r="I796" s="142">
        <v>3800</v>
      </c>
      <c r="J796" s="7"/>
      <c r="K796" s="69"/>
      <c r="L796" s="7"/>
      <c r="M796" s="7"/>
      <c r="N796" s="7"/>
      <c r="O796" s="7"/>
      <c r="P796" s="7"/>
      <c r="Q796" s="18">
        <f t="shared" si="39"/>
        <v>18674.659999999996</v>
      </c>
      <c r="R796" s="18">
        <f t="shared" si="40"/>
        <v>0</v>
      </c>
      <c r="S796" s="18">
        <f t="shared" si="41"/>
        <v>18674.659999999996</v>
      </c>
    </row>
    <row r="797" spans="1:19" x14ac:dyDescent="0.25">
      <c r="A797" s="45" t="s">
        <v>3894</v>
      </c>
      <c r="B797" s="30" t="s">
        <v>1787</v>
      </c>
      <c r="C797" s="30">
        <v>534</v>
      </c>
      <c r="D797" s="32" t="s">
        <v>3895</v>
      </c>
      <c r="E797" s="9" t="s">
        <v>3721</v>
      </c>
      <c r="F797" s="58">
        <v>41977</v>
      </c>
      <c r="G797" s="29">
        <f>111.43+431.37</f>
        <v>542.79999999999995</v>
      </c>
      <c r="H797" s="7"/>
      <c r="I797" s="141"/>
      <c r="J797" s="7"/>
      <c r="K797" s="69"/>
      <c r="L797" s="7"/>
      <c r="M797" s="7"/>
      <c r="N797" s="7"/>
      <c r="O797" s="7"/>
      <c r="P797" s="7"/>
      <c r="Q797" s="18">
        <f t="shared" si="39"/>
        <v>542.79999999999995</v>
      </c>
      <c r="R797" s="18">
        <f t="shared" si="40"/>
        <v>0</v>
      </c>
      <c r="S797" s="18">
        <f t="shared" si="41"/>
        <v>542.79999999999995</v>
      </c>
    </row>
    <row r="798" spans="1:19" x14ac:dyDescent="0.25">
      <c r="A798" s="45" t="s">
        <v>3896</v>
      </c>
      <c r="B798" s="30" t="s">
        <v>3897</v>
      </c>
      <c r="C798" s="30">
        <v>535</v>
      </c>
      <c r="D798" s="32" t="s">
        <v>3898</v>
      </c>
      <c r="E798" s="9" t="s">
        <v>3721</v>
      </c>
      <c r="F798" s="58">
        <v>41977</v>
      </c>
      <c r="G798" s="29">
        <f>83.6</f>
        <v>83.6</v>
      </c>
      <c r="H798" s="7"/>
      <c r="I798" s="141"/>
      <c r="J798" s="7"/>
      <c r="K798" s="69"/>
      <c r="L798" s="7"/>
      <c r="M798" s="7"/>
      <c r="N798" s="7"/>
      <c r="O798" s="7"/>
      <c r="P798" s="7"/>
      <c r="Q798" s="18">
        <f t="shared" si="39"/>
        <v>83.6</v>
      </c>
      <c r="R798" s="18">
        <f t="shared" si="40"/>
        <v>0</v>
      </c>
      <c r="S798" s="18">
        <f t="shared" si="41"/>
        <v>83.6</v>
      </c>
    </row>
    <row r="799" spans="1:19" x14ac:dyDescent="0.25">
      <c r="A799" s="45" t="s">
        <v>3896</v>
      </c>
      <c r="B799" s="30" t="s">
        <v>3897</v>
      </c>
      <c r="C799" s="30">
        <v>535</v>
      </c>
      <c r="D799" s="32" t="s">
        <v>3899</v>
      </c>
      <c r="E799" s="9" t="s">
        <v>3721</v>
      </c>
      <c r="F799" s="58">
        <v>41977</v>
      </c>
      <c r="G799" s="29">
        <f>60.35</f>
        <v>60.35</v>
      </c>
      <c r="H799" s="7"/>
      <c r="I799" s="141"/>
      <c r="J799" s="7"/>
      <c r="K799" s="69"/>
      <c r="L799" s="7"/>
      <c r="M799" s="7"/>
      <c r="N799" s="7"/>
      <c r="O799" s="7"/>
      <c r="P799" s="7"/>
      <c r="Q799" s="18">
        <f t="shared" si="39"/>
        <v>60.35</v>
      </c>
      <c r="R799" s="18">
        <f t="shared" si="40"/>
        <v>0</v>
      </c>
      <c r="S799" s="18">
        <f t="shared" si="41"/>
        <v>60.35</v>
      </c>
    </row>
    <row r="800" spans="1:19" x14ac:dyDescent="0.25">
      <c r="A800" s="45" t="s">
        <v>3900</v>
      </c>
      <c r="B800" s="30" t="s">
        <v>3901</v>
      </c>
      <c r="C800" s="30">
        <v>536</v>
      </c>
      <c r="D800" s="32" t="s">
        <v>3902</v>
      </c>
      <c r="E800" s="9" t="s">
        <v>3721</v>
      </c>
      <c r="F800" s="58">
        <v>41978</v>
      </c>
      <c r="G800" s="29">
        <f>818+45.2+816</f>
        <v>1679.2</v>
      </c>
      <c r="H800" s="7"/>
      <c r="I800" s="141"/>
      <c r="J800" s="7"/>
      <c r="K800" s="69"/>
      <c r="L800" s="7"/>
      <c r="M800" s="8">
        <v>3850</v>
      </c>
      <c r="N800" s="7"/>
      <c r="O800" s="8">
        <v>15200</v>
      </c>
      <c r="P800" s="7"/>
      <c r="Q800" s="18">
        <f t="shared" si="39"/>
        <v>20729.2</v>
      </c>
      <c r="R800" s="18">
        <f t="shared" si="40"/>
        <v>0</v>
      </c>
      <c r="S800" s="18">
        <f t="shared" si="41"/>
        <v>20729.2</v>
      </c>
    </row>
    <row r="801" spans="1:19" x14ac:dyDescent="0.25">
      <c r="A801" s="45" t="s">
        <v>3903</v>
      </c>
      <c r="B801" s="30" t="s">
        <v>3904</v>
      </c>
      <c r="C801" s="30">
        <v>537</v>
      </c>
      <c r="D801" s="32" t="s">
        <v>3905</v>
      </c>
      <c r="E801" s="9" t="s">
        <v>3721</v>
      </c>
      <c r="F801" s="58">
        <v>41978</v>
      </c>
      <c r="G801" s="29">
        <f>516+610+35</f>
        <v>1161</v>
      </c>
      <c r="H801" s="7"/>
      <c r="I801" s="139">
        <f>400</f>
        <v>400</v>
      </c>
      <c r="J801" s="7"/>
      <c r="K801" s="69"/>
      <c r="L801" s="7"/>
      <c r="M801" s="7"/>
      <c r="N801" s="7"/>
      <c r="O801" s="7"/>
      <c r="P801" s="7"/>
      <c r="Q801" s="18">
        <f t="shared" si="39"/>
        <v>1561</v>
      </c>
      <c r="R801" s="18">
        <f t="shared" si="40"/>
        <v>0</v>
      </c>
      <c r="S801" s="18">
        <f t="shared" si="41"/>
        <v>1561</v>
      </c>
    </row>
    <row r="802" spans="1:19" x14ac:dyDescent="0.25">
      <c r="A802" s="45" t="s">
        <v>3903</v>
      </c>
      <c r="B802" s="30" t="s">
        <v>3904</v>
      </c>
      <c r="C802" s="30">
        <v>537</v>
      </c>
      <c r="D802" s="32" t="s">
        <v>3906</v>
      </c>
      <c r="E802" s="9" t="s">
        <v>3721</v>
      </c>
      <c r="F802" s="58">
        <v>41978</v>
      </c>
      <c r="G802" s="29">
        <f>48</f>
        <v>48</v>
      </c>
      <c r="H802" s="7"/>
      <c r="I802" s="141"/>
      <c r="J802" s="7"/>
      <c r="K802" s="69"/>
      <c r="L802" s="7"/>
      <c r="M802" s="7"/>
      <c r="N802" s="7"/>
      <c r="O802" s="7"/>
      <c r="P802" s="7"/>
      <c r="Q802" s="18">
        <f t="shared" si="39"/>
        <v>48</v>
      </c>
      <c r="R802" s="18">
        <f t="shared" si="40"/>
        <v>0</v>
      </c>
      <c r="S802" s="18">
        <f t="shared" si="41"/>
        <v>48</v>
      </c>
    </row>
    <row r="803" spans="1:19" x14ac:dyDescent="0.25">
      <c r="A803" s="45" t="s">
        <v>730</v>
      </c>
      <c r="B803" s="30" t="s">
        <v>731</v>
      </c>
      <c r="C803" s="30">
        <v>538</v>
      </c>
      <c r="D803" s="32" t="s">
        <v>3907</v>
      </c>
      <c r="E803" s="9" t="s">
        <v>3721</v>
      </c>
      <c r="F803" s="58">
        <v>41978</v>
      </c>
      <c r="G803" s="29">
        <f>108.3</f>
        <v>108.3</v>
      </c>
      <c r="H803" s="7"/>
      <c r="I803" s="141"/>
      <c r="J803" s="7"/>
      <c r="K803" s="69"/>
      <c r="L803" s="7"/>
      <c r="M803" s="7"/>
      <c r="N803" s="7"/>
      <c r="O803" s="7"/>
      <c r="P803" s="7"/>
      <c r="Q803" s="18">
        <f t="shared" si="39"/>
        <v>108.3</v>
      </c>
      <c r="R803" s="18">
        <f t="shared" si="40"/>
        <v>0</v>
      </c>
      <c r="S803" s="18">
        <f t="shared" si="41"/>
        <v>108.3</v>
      </c>
    </row>
    <row r="804" spans="1:19" x14ac:dyDescent="0.25">
      <c r="A804" s="45" t="s">
        <v>730</v>
      </c>
      <c r="B804" s="30" t="s">
        <v>731</v>
      </c>
      <c r="C804" s="30">
        <v>538</v>
      </c>
      <c r="D804" s="32" t="s">
        <v>3908</v>
      </c>
      <c r="E804" s="9" t="s">
        <v>3721</v>
      </c>
      <c r="F804" s="58">
        <v>41978</v>
      </c>
      <c r="G804" s="29">
        <f>181.9</f>
        <v>181.9</v>
      </c>
      <c r="H804" s="7"/>
      <c r="I804" s="141"/>
      <c r="J804" s="7"/>
      <c r="K804" s="69"/>
      <c r="L804" s="7"/>
      <c r="M804" s="7"/>
      <c r="N804" s="7"/>
      <c r="O804" s="7"/>
      <c r="P804" s="7"/>
      <c r="Q804" s="18">
        <f t="shared" si="39"/>
        <v>181.9</v>
      </c>
      <c r="R804" s="18">
        <f t="shared" si="40"/>
        <v>0</v>
      </c>
      <c r="S804" s="18">
        <f t="shared" si="41"/>
        <v>181.9</v>
      </c>
    </row>
    <row r="805" spans="1:19" x14ac:dyDescent="0.25">
      <c r="A805" s="45" t="s">
        <v>3909</v>
      </c>
      <c r="B805" s="45" t="s">
        <v>3910</v>
      </c>
      <c r="C805" s="30">
        <v>539</v>
      </c>
      <c r="D805" s="32" t="s">
        <v>3911</v>
      </c>
      <c r="E805" s="9" t="s">
        <v>3721</v>
      </c>
      <c r="F805" s="58">
        <v>41978</v>
      </c>
      <c r="G805" s="29">
        <f>270+225.5</f>
        <v>495.5</v>
      </c>
      <c r="H805" s="7"/>
      <c r="I805" s="141"/>
      <c r="J805" s="7"/>
      <c r="K805" s="69"/>
      <c r="L805" s="7"/>
      <c r="M805" s="7"/>
      <c r="N805" s="7"/>
      <c r="O805" s="7"/>
      <c r="P805" s="7"/>
      <c r="Q805" s="18">
        <f t="shared" si="39"/>
        <v>495.5</v>
      </c>
      <c r="R805" s="18">
        <f t="shared" si="40"/>
        <v>0</v>
      </c>
      <c r="S805" s="18">
        <f t="shared" si="41"/>
        <v>495.5</v>
      </c>
    </row>
    <row r="806" spans="1:19" x14ac:dyDescent="0.25">
      <c r="A806" s="45" t="s">
        <v>3912</v>
      </c>
      <c r="B806" s="30" t="s">
        <v>3913</v>
      </c>
      <c r="C806" s="30">
        <v>540</v>
      </c>
      <c r="D806" s="32" t="s">
        <v>3914</v>
      </c>
      <c r="E806" s="9" t="s">
        <v>3721</v>
      </c>
      <c r="F806" s="58">
        <v>41978</v>
      </c>
      <c r="G806" s="29">
        <f>117</f>
        <v>117</v>
      </c>
      <c r="H806" s="7"/>
      <c r="I806" s="141"/>
      <c r="J806" s="7"/>
      <c r="K806" s="69"/>
      <c r="L806" s="7"/>
      <c r="M806" s="7"/>
      <c r="N806" s="7"/>
      <c r="O806" s="7"/>
      <c r="P806" s="7"/>
      <c r="Q806" s="18">
        <f t="shared" si="39"/>
        <v>117</v>
      </c>
      <c r="R806" s="18">
        <f t="shared" si="40"/>
        <v>0</v>
      </c>
      <c r="S806" s="18">
        <f t="shared" si="41"/>
        <v>117</v>
      </c>
    </row>
    <row r="807" spans="1:19" x14ac:dyDescent="0.25">
      <c r="A807" s="45" t="s">
        <v>3915</v>
      </c>
      <c r="B807" s="30" t="s">
        <v>3916</v>
      </c>
      <c r="C807" s="30">
        <v>541</v>
      </c>
      <c r="D807" s="32" t="s">
        <v>3917</v>
      </c>
      <c r="E807" s="9" t="s">
        <v>3721</v>
      </c>
      <c r="F807" s="58">
        <v>41978</v>
      </c>
      <c r="G807" s="29">
        <f>120</f>
        <v>120</v>
      </c>
      <c r="H807" s="7"/>
      <c r="I807" s="141"/>
      <c r="J807" s="7"/>
      <c r="K807" s="69"/>
      <c r="L807" s="7"/>
      <c r="M807" s="7"/>
      <c r="N807" s="7"/>
      <c r="O807" s="7"/>
      <c r="P807" s="7"/>
      <c r="Q807" s="18">
        <f t="shared" si="39"/>
        <v>120</v>
      </c>
      <c r="R807" s="18">
        <f t="shared" si="40"/>
        <v>0</v>
      </c>
      <c r="S807" s="18">
        <f t="shared" si="41"/>
        <v>120</v>
      </c>
    </row>
    <row r="808" spans="1:19" x14ac:dyDescent="0.25">
      <c r="A808" s="45" t="s">
        <v>3918</v>
      </c>
      <c r="B808" s="30" t="s">
        <v>3919</v>
      </c>
      <c r="C808" s="30">
        <v>542</v>
      </c>
      <c r="D808" s="32" t="s">
        <v>3920</v>
      </c>
      <c r="E808" s="9" t="s">
        <v>3721</v>
      </c>
      <c r="F808" s="58">
        <v>41978</v>
      </c>
      <c r="G808" s="29">
        <f>108.1</f>
        <v>108.1</v>
      </c>
      <c r="H808" s="7"/>
      <c r="I808" s="141"/>
      <c r="J808" s="7"/>
      <c r="K808" s="69"/>
      <c r="L808" s="7"/>
      <c r="M808" s="7"/>
      <c r="N808" s="7"/>
      <c r="O808" s="7"/>
      <c r="P808" s="7"/>
      <c r="Q808" s="18">
        <f t="shared" si="39"/>
        <v>108.1</v>
      </c>
      <c r="R808" s="18">
        <f t="shared" si="40"/>
        <v>0</v>
      </c>
      <c r="S808" s="18">
        <f t="shared" si="41"/>
        <v>108.1</v>
      </c>
    </row>
    <row r="809" spans="1:19" x14ac:dyDescent="0.25">
      <c r="A809" s="45" t="s">
        <v>3921</v>
      </c>
      <c r="B809" s="30" t="s">
        <v>3922</v>
      </c>
      <c r="C809" s="30">
        <v>543</v>
      </c>
      <c r="D809" s="32" t="s">
        <v>3923</v>
      </c>
      <c r="E809" s="9" t="s">
        <v>3721</v>
      </c>
      <c r="F809" s="58">
        <v>41978</v>
      </c>
      <c r="G809" s="29">
        <f>173.3</f>
        <v>173.3</v>
      </c>
      <c r="H809" s="7"/>
      <c r="I809" s="141"/>
      <c r="J809" s="7"/>
      <c r="K809" s="69"/>
      <c r="L809" s="7"/>
      <c r="M809" s="7"/>
      <c r="N809" s="7"/>
      <c r="O809" s="7"/>
      <c r="P809" s="7"/>
      <c r="Q809" s="18">
        <f t="shared" si="39"/>
        <v>173.3</v>
      </c>
      <c r="R809" s="18">
        <f t="shared" si="40"/>
        <v>0</v>
      </c>
      <c r="S809" s="18">
        <f t="shared" si="41"/>
        <v>173.3</v>
      </c>
    </row>
    <row r="810" spans="1:19" x14ac:dyDescent="0.25">
      <c r="A810" s="45" t="s">
        <v>3924</v>
      </c>
      <c r="B810" s="30" t="s">
        <v>3925</v>
      </c>
      <c r="C810" s="30">
        <v>544</v>
      </c>
      <c r="D810" s="32" t="s">
        <v>3926</v>
      </c>
      <c r="E810" s="9" t="s">
        <v>3721</v>
      </c>
      <c r="F810" s="58">
        <v>41978</v>
      </c>
      <c r="G810" s="29">
        <f>40.6</f>
        <v>40.6</v>
      </c>
      <c r="H810" s="7"/>
      <c r="I810" s="141"/>
      <c r="J810" s="7"/>
      <c r="K810" s="69"/>
      <c r="L810" s="7"/>
      <c r="M810" s="7"/>
      <c r="N810" s="7"/>
      <c r="O810" s="7"/>
      <c r="P810" s="7"/>
      <c r="Q810" s="18">
        <f t="shared" si="39"/>
        <v>40.6</v>
      </c>
      <c r="R810" s="18">
        <f t="shared" si="40"/>
        <v>0</v>
      </c>
      <c r="S810" s="18">
        <f t="shared" si="41"/>
        <v>40.6</v>
      </c>
    </row>
    <row r="811" spans="1:19" x14ac:dyDescent="0.25">
      <c r="A811" s="45" t="s">
        <v>3924</v>
      </c>
      <c r="B811" s="30" t="s">
        <v>3925</v>
      </c>
      <c r="C811" s="30">
        <v>544</v>
      </c>
      <c r="D811" s="32" t="s">
        <v>3927</v>
      </c>
      <c r="E811" s="9" t="s">
        <v>3721</v>
      </c>
      <c r="F811" s="58">
        <v>41978</v>
      </c>
      <c r="G811" s="29">
        <f>203+2301.5</f>
        <v>2504.5</v>
      </c>
      <c r="H811" s="7"/>
      <c r="I811" s="142">
        <v>750</v>
      </c>
      <c r="J811" s="7"/>
      <c r="K811" s="69"/>
      <c r="L811" s="7"/>
      <c r="M811" s="7"/>
      <c r="N811" s="7"/>
      <c r="O811" s="7"/>
      <c r="P811" s="7"/>
      <c r="Q811" s="18">
        <f t="shared" si="39"/>
        <v>3254.5</v>
      </c>
      <c r="R811" s="18">
        <f t="shared" si="40"/>
        <v>0</v>
      </c>
      <c r="S811" s="18">
        <f t="shared" si="41"/>
        <v>3254.5</v>
      </c>
    </row>
    <row r="812" spans="1:19" x14ac:dyDescent="0.25">
      <c r="A812" s="45" t="s">
        <v>3928</v>
      </c>
      <c r="B812" s="30" t="s">
        <v>3929</v>
      </c>
      <c r="C812" s="30">
        <v>545</v>
      </c>
      <c r="D812" s="32" t="s">
        <v>3930</v>
      </c>
      <c r="E812" s="9" t="s">
        <v>3721</v>
      </c>
      <c r="F812" s="58">
        <v>41979</v>
      </c>
      <c r="G812" s="29">
        <f>150+320+278+370+32+880.2</f>
        <v>2030.2</v>
      </c>
      <c r="H812" s="7"/>
      <c r="I812" s="142">
        <f>750+750+500+750+750+300</f>
        <v>3800</v>
      </c>
      <c r="J812" s="7"/>
      <c r="K812" s="69"/>
      <c r="L812" s="7"/>
      <c r="M812" s="7"/>
      <c r="N812" s="7"/>
      <c r="O812" s="7"/>
      <c r="P812" s="7"/>
      <c r="Q812" s="18">
        <f t="shared" si="39"/>
        <v>5830.2</v>
      </c>
      <c r="R812" s="18">
        <f t="shared" si="40"/>
        <v>0</v>
      </c>
      <c r="S812" s="18">
        <f t="shared" si="41"/>
        <v>5830.2</v>
      </c>
    </row>
    <row r="813" spans="1:19" x14ac:dyDescent="0.25">
      <c r="A813" s="45" t="s">
        <v>3931</v>
      </c>
      <c r="B813" s="30" t="s">
        <v>3932</v>
      </c>
      <c r="C813" s="30">
        <v>546</v>
      </c>
      <c r="D813" s="32" t="s">
        <v>3933</v>
      </c>
      <c r="E813" s="9" t="s">
        <v>3721</v>
      </c>
      <c r="F813" s="58">
        <v>41979</v>
      </c>
      <c r="G813" s="29">
        <f>165.73</f>
        <v>165.73</v>
      </c>
      <c r="H813" s="7"/>
      <c r="I813" s="141"/>
      <c r="J813" s="7"/>
      <c r="K813" s="69"/>
      <c r="L813" s="7"/>
      <c r="M813" s="7"/>
      <c r="N813" s="7"/>
      <c r="O813" s="7"/>
      <c r="P813" s="7"/>
      <c r="Q813" s="18">
        <f t="shared" si="39"/>
        <v>165.73</v>
      </c>
      <c r="R813" s="18">
        <f t="shared" si="40"/>
        <v>0</v>
      </c>
      <c r="S813" s="18">
        <f t="shared" si="41"/>
        <v>165.73</v>
      </c>
    </row>
    <row r="814" spans="1:19" x14ac:dyDescent="0.25">
      <c r="A814" s="45" t="s">
        <v>3931</v>
      </c>
      <c r="B814" s="30" t="s">
        <v>3932</v>
      </c>
      <c r="C814" s="30">
        <v>546</v>
      </c>
      <c r="D814" s="32" t="s">
        <v>3934</v>
      </c>
      <c r="E814" s="9" t="s">
        <v>3721</v>
      </c>
      <c r="F814" s="58">
        <v>41979</v>
      </c>
      <c r="G814" s="29">
        <f>153.58</f>
        <v>153.58000000000001</v>
      </c>
      <c r="H814" s="7"/>
      <c r="I814" s="141"/>
      <c r="J814" s="7"/>
      <c r="K814" s="69"/>
      <c r="L814" s="7"/>
      <c r="M814" s="7"/>
      <c r="N814" s="7"/>
      <c r="O814" s="7"/>
      <c r="P814" s="7"/>
      <c r="Q814" s="18">
        <f t="shared" si="39"/>
        <v>153.58000000000001</v>
      </c>
      <c r="R814" s="18">
        <f t="shared" si="40"/>
        <v>0</v>
      </c>
      <c r="S814" s="18">
        <f t="shared" si="41"/>
        <v>153.58000000000001</v>
      </c>
    </row>
    <row r="815" spans="1:19" x14ac:dyDescent="0.25">
      <c r="A815" s="45" t="s">
        <v>3935</v>
      </c>
      <c r="B815" s="30" t="s">
        <v>3936</v>
      </c>
      <c r="C815" s="30">
        <v>547</v>
      </c>
      <c r="D815" s="32" t="s">
        <v>3937</v>
      </c>
      <c r="E815" s="9" t="s">
        <v>3878</v>
      </c>
      <c r="F815" s="58">
        <v>41982</v>
      </c>
      <c r="G815" s="29">
        <f>9625</f>
        <v>9625</v>
      </c>
      <c r="H815" s="7"/>
      <c r="I815" s="141"/>
      <c r="J815" s="7"/>
      <c r="K815" s="69"/>
      <c r="L815" s="7"/>
      <c r="M815" s="63">
        <v>3800</v>
      </c>
      <c r="N815" s="7"/>
      <c r="O815" s="33">
        <v>15200</v>
      </c>
      <c r="P815" s="7"/>
      <c r="Q815" s="18">
        <f t="shared" si="39"/>
        <v>28625</v>
      </c>
      <c r="R815" s="18">
        <f t="shared" si="40"/>
        <v>0</v>
      </c>
      <c r="S815" s="18">
        <f t="shared" si="41"/>
        <v>28625</v>
      </c>
    </row>
    <row r="816" spans="1:19" x14ac:dyDescent="0.25">
      <c r="A816" s="45" t="s">
        <v>3938</v>
      </c>
      <c r="B816" s="30" t="s">
        <v>287</v>
      </c>
      <c r="C816" s="30">
        <v>548</v>
      </c>
      <c r="D816" s="32" t="s">
        <v>3939</v>
      </c>
      <c r="E816" s="9" t="s">
        <v>3721</v>
      </c>
      <c r="F816" s="58">
        <v>41982</v>
      </c>
      <c r="G816" s="29">
        <f>194.86+270.69+195.44</f>
        <v>660.99</v>
      </c>
      <c r="H816" s="7"/>
      <c r="I816" s="141"/>
      <c r="J816" s="7"/>
      <c r="K816" s="69"/>
      <c r="L816" s="7"/>
      <c r="M816" s="7"/>
      <c r="N816" s="7"/>
      <c r="O816" s="7"/>
      <c r="P816" s="7"/>
      <c r="Q816" s="18">
        <f t="shared" si="39"/>
        <v>660.99</v>
      </c>
      <c r="R816" s="18">
        <f t="shared" si="40"/>
        <v>0</v>
      </c>
      <c r="S816" s="18">
        <f t="shared" si="41"/>
        <v>660.99</v>
      </c>
    </row>
    <row r="817" spans="1:19" x14ac:dyDescent="0.25">
      <c r="A817" s="45" t="s">
        <v>3938</v>
      </c>
      <c r="B817" s="30" t="s">
        <v>287</v>
      </c>
      <c r="C817" s="30">
        <v>548</v>
      </c>
      <c r="D817" s="32" t="s">
        <v>3940</v>
      </c>
      <c r="E817" s="9" t="s">
        <v>3721</v>
      </c>
      <c r="F817" s="58">
        <v>41982</v>
      </c>
      <c r="G817" s="29">
        <f>191.24+149.04</f>
        <v>340.28</v>
      </c>
      <c r="H817" s="7"/>
      <c r="I817" s="141"/>
      <c r="J817" s="7"/>
      <c r="K817" s="69"/>
      <c r="L817" s="7"/>
      <c r="M817" s="7"/>
      <c r="N817" s="7"/>
      <c r="O817" s="7"/>
      <c r="P817" s="7"/>
      <c r="Q817" s="18">
        <f t="shared" si="39"/>
        <v>340.28</v>
      </c>
      <c r="R817" s="18">
        <f t="shared" si="40"/>
        <v>0</v>
      </c>
      <c r="S817" s="18">
        <f t="shared" si="41"/>
        <v>340.28</v>
      </c>
    </row>
    <row r="818" spans="1:19" x14ac:dyDescent="0.25">
      <c r="A818" s="45" t="s">
        <v>3941</v>
      </c>
      <c r="B818" s="30" t="s">
        <v>3942</v>
      </c>
      <c r="C818" s="30">
        <v>549</v>
      </c>
      <c r="D818" s="32" t="s">
        <v>3943</v>
      </c>
      <c r="E818" s="9" t="s">
        <v>3721</v>
      </c>
      <c r="F818" s="58">
        <v>41982</v>
      </c>
      <c r="G818" s="29">
        <f>272.65</f>
        <v>272.64999999999998</v>
      </c>
      <c r="H818" s="7"/>
      <c r="I818" s="141"/>
      <c r="J818" s="7"/>
      <c r="K818" s="69"/>
      <c r="L818" s="7"/>
      <c r="M818" s="7"/>
      <c r="N818" s="7"/>
      <c r="O818" s="7"/>
      <c r="P818" s="7"/>
      <c r="Q818" s="18">
        <f t="shared" si="39"/>
        <v>272.64999999999998</v>
      </c>
      <c r="R818" s="18">
        <f t="shared" si="40"/>
        <v>0</v>
      </c>
      <c r="S818" s="18">
        <f t="shared" si="41"/>
        <v>272.64999999999998</v>
      </c>
    </row>
    <row r="819" spans="1:19" x14ac:dyDescent="0.25">
      <c r="A819" s="45" t="s">
        <v>3944</v>
      </c>
      <c r="B819" s="30" t="s">
        <v>3945</v>
      </c>
      <c r="C819" s="30">
        <v>550</v>
      </c>
      <c r="D819" s="32" t="s">
        <v>3946</v>
      </c>
      <c r="E819" s="9" t="s">
        <v>3721</v>
      </c>
      <c r="F819" s="58">
        <v>41982</v>
      </c>
      <c r="G819" s="29">
        <f>293.2</f>
        <v>293.2</v>
      </c>
      <c r="H819" s="7"/>
      <c r="I819" s="141"/>
      <c r="J819" s="7"/>
      <c r="K819" s="69"/>
      <c r="L819" s="7"/>
      <c r="M819" s="7"/>
      <c r="N819" s="7"/>
      <c r="O819" s="7"/>
      <c r="P819" s="7"/>
      <c r="Q819" s="18">
        <f t="shared" si="39"/>
        <v>293.2</v>
      </c>
      <c r="R819" s="18">
        <f t="shared" si="40"/>
        <v>0</v>
      </c>
      <c r="S819" s="18">
        <f t="shared" si="41"/>
        <v>293.2</v>
      </c>
    </row>
    <row r="820" spans="1:19" x14ac:dyDescent="0.25">
      <c r="A820" s="45" t="s">
        <v>3947</v>
      </c>
      <c r="B820" s="30" t="s">
        <v>3948</v>
      </c>
      <c r="C820" s="30">
        <v>551</v>
      </c>
      <c r="D820" s="32" t="s">
        <v>3949</v>
      </c>
      <c r="E820" s="9" t="s">
        <v>3721</v>
      </c>
      <c r="F820" s="58">
        <v>41982</v>
      </c>
      <c r="G820" s="29">
        <f>162</f>
        <v>162</v>
      </c>
      <c r="H820" s="7"/>
      <c r="I820" s="141"/>
      <c r="J820" s="7"/>
      <c r="K820" s="69"/>
      <c r="L820" s="7"/>
      <c r="M820" s="7"/>
      <c r="N820" s="7"/>
      <c r="O820" s="7"/>
      <c r="P820" s="7"/>
      <c r="Q820" s="18">
        <f t="shared" si="39"/>
        <v>162</v>
      </c>
      <c r="R820" s="18">
        <f t="shared" si="40"/>
        <v>0</v>
      </c>
      <c r="S820" s="18">
        <f t="shared" si="41"/>
        <v>162</v>
      </c>
    </row>
    <row r="821" spans="1:19" x14ac:dyDescent="0.25">
      <c r="A821" s="45" t="s">
        <v>3950</v>
      </c>
      <c r="B821" s="30" t="s">
        <v>3951</v>
      </c>
      <c r="C821" s="30">
        <v>552</v>
      </c>
      <c r="D821" s="32" t="s">
        <v>3952</v>
      </c>
      <c r="E821" s="9" t="s">
        <v>3721</v>
      </c>
      <c r="F821" s="58">
        <v>41982</v>
      </c>
      <c r="G821" s="29">
        <f>200.5</f>
        <v>200.5</v>
      </c>
      <c r="H821" s="7"/>
      <c r="I821" s="141"/>
      <c r="J821" s="7"/>
      <c r="K821" s="69"/>
      <c r="L821" s="7"/>
      <c r="M821" s="7"/>
      <c r="N821" s="7"/>
      <c r="O821" s="7"/>
      <c r="P821" s="7"/>
      <c r="Q821" s="18">
        <f t="shared" si="39"/>
        <v>200.5</v>
      </c>
      <c r="R821" s="18">
        <f t="shared" si="40"/>
        <v>0</v>
      </c>
      <c r="S821" s="18">
        <f t="shared" si="41"/>
        <v>200.5</v>
      </c>
    </row>
    <row r="822" spans="1:19" x14ac:dyDescent="0.25">
      <c r="A822" s="45" t="s">
        <v>3953</v>
      </c>
      <c r="B822" s="30" t="s">
        <v>3954</v>
      </c>
      <c r="C822" s="30">
        <v>553</v>
      </c>
      <c r="D822" s="32" t="s">
        <v>3955</v>
      </c>
      <c r="E822" s="9" t="s">
        <v>3721</v>
      </c>
      <c r="F822" s="58">
        <v>41982</v>
      </c>
      <c r="G822" s="29">
        <f>115.5</f>
        <v>115.5</v>
      </c>
      <c r="H822" s="7"/>
      <c r="I822" s="141"/>
      <c r="J822" s="7"/>
      <c r="K822" s="69"/>
      <c r="L822" s="7"/>
      <c r="M822" s="7"/>
      <c r="N822" s="7"/>
      <c r="O822" s="7"/>
      <c r="P822" s="7"/>
      <c r="Q822" s="18">
        <f t="shared" si="39"/>
        <v>115.5</v>
      </c>
      <c r="R822" s="18">
        <f t="shared" si="40"/>
        <v>0</v>
      </c>
      <c r="S822" s="18">
        <f t="shared" si="41"/>
        <v>115.5</v>
      </c>
    </row>
    <row r="823" spans="1:19" x14ac:dyDescent="0.25">
      <c r="A823" s="45" t="s">
        <v>3956</v>
      </c>
      <c r="B823" s="30" t="s">
        <v>3957</v>
      </c>
      <c r="C823" s="30">
        <v>554</v>
      </c>
      <c r="D823" s="32" t="s">
        <v>3958</v>
      </c>
      <c r="E823" s="9" t="s">
        <v>3721</v>
      </c>
      <c r="F823" s="58">
        <v>41983</v>
      </c>
      <c r="G823" s="29">
        <f>498+238+446.85+260+3935+35+3741.8+70</f>
        <v>9224.6500000000015</v>
      </c>
      <c r="H823" s="7"/>
      <c r="I823" s="139">
        <f>175</f>
        <v>175</v>
      </c>
      <c r="J823" s="7"/>
      <c r="K823" s="69"/>
      <c r="L823" s="7"/>
      <c r="M823" s="7"/>
      <c r="N823" s="7"/>
      <c r="O823" s="7"/>
      <c r="P823" s="7"/>
      <c r="Q823" s="18">
        <f t="shared" si="39"/>
        <v>9399.6500000000015</v>
      </c>
      <c r="R823" s="18">
        <f t="shared" si="40"/>
        <v>0</v>
      </c>
      <c r="S823" s="18">
        <f t="shared" si="41"/>
        <v>9399.6500000000015</v>
      </c>
    </row>
    <row r="824" spans="1:19" x14ac:dyDescent="0.25">
      <c r="A824" s="45" t="s">
        <v>3959</v>
      </c>
      <c r="B824" s="30" t="s">
        <v>3960</v>
      </c>
      <c r="C824" s="30">
        <v>555</v>
      </c>
      <c r="D824" s="32" t="s">
        <v>3961</v>
      </c>
      <c r="E824" s="9" t="s">
        <v>3721</v>
      </c>
      <c r="F824" s="58">
        <v>41983</v>
      </c>
      <c r="G824" s="29">
        <f>167.5+80.76+75.4+64.9+348.1+232.8+188.6+631.3+64.9+436.6+64.9</f>
        <v>2355.7600000000002</v>
      </c>
      <c r="H824" s="7"/>
      <c r="I824" s="139">
        <f>750+1050+1575</f>
        <v>3375</v>
      </c>
      <c r="J824" s="7"/>
      <c r="K824" s="69"/>
      <c r="L824" s="7"/>
      <c r="M824" s="7"/>
      <c r="N824" s="7"/>
      <c r="O824" s="7"/>
      <c r="P824" s="7"/>
      <c r="Q824" s="18">
        <f t="shared" si="39"/>
        <v>5730.76</v>
      </c>
      <c r="R824" s="18">
        <f t="shared" si="40"/>
        <v>0</v>
      </c>
      <c r="S824" s="18">
        <f t="shared" si="41"/>
        <v>5730.76</v>
      </c>
    </row>
    <row r="825" spans="1:19" x14ac:dyDescent="0.25">
      <c r="A825" s="45" t="s">
        <v>3962</v>
      </c>
      <c r="B825" s="45" t="s">
        <v>3963</v>
      </c>
      <c r="C825" s="30">
        <v>556</v>
      </c>
      <c r="D825" s="32" t="s">
        <v>3964</v>
      </c>
      <c r="E825" s="9" t="s">
        <v>3721</v>
      </c>
      <c r="F825" s="58">
        <v>41984</v>
      </c>
      <c r="G825" s="29">
        <f>238.6+354.24</f>
        <v>592.84</v>
      </c>
      <c r="H825" s="7"/>
      <c r="I825" s="143">
        <f>750+750+750+750</f>
        <v>3000</v>
      </c>
      <c r="J825" s="7"/>
      <c r="K825" s="69"/>
      <c r="L825" s="7"/>
      <c r="M825" s="7"/>
      <c r="N825" s="7"/>
      <c r="O825" s="7"/>
      <c r="P825" s="7"/>
      <c r="Q825" s="18">
        <f t="shared" si="39"/>
        <v>3592.84</v>
      </c>
      <c r="R825" s="18">
        <f t="shared" si="40"/>
        <v>0</v>
      </c>
      <c r="S825" s="18">
        <f t="shared" si="41"/>
        <v>3592.84</v>
      </c>
    </row>
    <row r="826" spans="1:19" x14ac:dyDescent="0.25">
      <c r="A826" s="45" t="s">
        <v>3962</v>
      </c>
      <c r="B826" s="45" t="s">
        <v>3963</v>
      </c>
      <c r="C826" s="30">
        <v>556</v>
      </c>
      <c r="D826" s="32" t="s">
        <v>3965</v>
      </c>
      <c r="E826" s="9" t="s">
        <v>3721</v>
      </c>
      <c r="F826" s="58">
        <v>41984</v>
      </c>
      <c r="G826" s="29">
        <f>221+558+41.3+354.24</f>
        <v>1174.54</v>
      </c>
      <c r="H826" s="7"/>
      <c r="I826" s="141"/>
      <c r="J826" s="7"/>
      <c r="K826" s="69"/>
      <c r="L826" s="7"/>
      <c r="M826" s="7"/>
      <c r="N826" s="7"/>
      <c r="O826" s="7"/>
      <c r="P826" s="7"/>
      <c r="Q826" s="18">
        <f t="shared" si="39"/>
        <v>1174.54</v>
      </c>
      <c r="R826" s="18">
        <f t="shared" si="40"/>
        <v>0</v>
      </c>
      <c r="S826" s="18">
        <f t="shared" si="41"/>
        <v>1174.54</v>
      </c>
    </row>
    <row r="827" spans="1:19" x14ac:dyDescent="0.25">
      <c r="A827" s="45" t="s">
        <v>3962</v>
      </c>
      <c r="B827" s="45" t="s">
        <v>3963</v>
      </c>
      <c r="C827" s="30">
        <v>556</v>
      </c>
      <c r="D827" s="32" t="s">
        <v>3966</v>
      </c>
      <c r="E827" s="9" t="s">
        <v>3721</v>
      </c>
      <c r="F827" s="58">
        <v>41984</v>
      </c>
      <c r="G827" s="29">
        <f>115+320.27</f>
        <v>435.27</v>
      </c>
      <c r="H827" s="7"/>
      <c r="I827" s="139">
        <f>1750</f>
        <v>1750</v>
      </c>
      <c r="J827" s="7"/>
      <c r="K827" s="69"/>
      <c r="L827" s="7"/>
      <c r="M827" s="7"/>
      <c r="N827" s="7"/>
      <c r="O827" s="7"/>
      <c r="P827" s="7"/>
      <c r="Q827" s="18">
        <f t="shared" si="39"/>
        <v>2185.27</v>
      </c>
      <c r="R827" s="18">
        <f t="shared" si="40"/>
        <v>0</v>
      </c>
      <c r="S827" s="18">
        <f t="shared" si="41"/>
        <v>2185.27</v>
      </c>
    </row>
    <row r="828" spans="1:19" x14ac:dyDescent="0.25">
      <c r="A828" s="45" t="s">
        <v>3962</v>
      </c>
      <c r="B828" s="45" t="s">
        <v>3963</v>
      </c>
      <c r="C828" s="30">
        <v>556</v>
      </c>
      <c r="D828" s="32" t="s">
        <v>3967</v>
      </c>
      <c r="E828" s="9" t="s">
        <v>3721</v>
      </c>
      <c r="F828" s="58">
        <v>41984</v>
      </c>
      <c r="G828" s="29">
        <f>113</f>
        <v>113</v>
      </c>
      <c r="H828" s="7"/>
      <c r="I828" s="141"/>
      <c r="J828" s="7"/>
      <c r="K828" s="69"/>
      <c r="L828" s="7"/>
      <c r="M828" s="7"/>
      <c r="N828" s="7"/>
      <c r="O828" s="7"/>
      <c r="P828" s="7"/>
      <c r="Q828" s="18">
        <f t="shared" si="39"/>
        <v>113</v>
      </c>
      <c r="R828" s="18">
        <f t="shared" si="40"/>
        <v>0</v>
      </c>
      <c r="S828" s="18">
        <f t="shared" si="41"/>
        <v>113</v>
      </c>
    </row>
    <row r="829" spans="1:19" x14ac:dyDescent="0.25">
      <c r="A829" s="45" t="s">
        <v>3968</v>
      </c>
      <c r="B829" s="30" t="s">
        <v>3969</v>
      </c>
      <c r="C829" s="30">
        <v>557</v>
      </c>
      <c r="D829" s="32" t="s">
        <v>3970</v>
      </c>
      <c r="E829" s="9" t="s">
        <v>3721</v>
      </c>
      <c r="F829" s="58">
        <v>41984</v>
      </c>
      <c r="G829" s="29">
        <f>278.59</f>
        <v>278.58999999999997</v>
      </c>
      <c r="H829" s="7"/>
      <c r="I829" s="141"/>
      <c r="J829" s="7"/>
      <c r="K829" s="69"/>
      <c r="L829" s="7"/>
      <c r="M829" s="7"/>
      <c r="N829" s="7"/>
      <c r="O829" s="7"/>
      <c r="P829" s="7"/>
      <c r="Q829" s="18">
        <f t="shared" si="39"/>
        <v>278.58999999999997</v>
      </c>
      <c r="R829" s="18">
        <f t="shared" si="40"/>
        <v>0</v>
      </c>
      <c r="S829" s="18">
        <f t="shared" si="41"/>
        <v>278.58999999999997</v>
      </c>
    </row>
    <row r="830" spans="1:19" x14ac:dyDescent="0.25">
      <c r="A830" s="45" t="s">
        <v>3971</v>
      </c>
      <c r="B830" s="30" t="s">
        <v>3972</v>
      </c>
      <c r="C830" s="30">
        <v>558</v>
      </c>
      <c r="D830" s="32" t="s">
        <v>3973</v>
      </c>
      <c r="E830" s="9" t="s">
        <v>3721</v>
      </c>
      <c r="F830" s="58">
        <v>41984</v>
      </c>
      <c r="G830" s="29">
        <f>110.09</f>
        <v>110.09</v>
      </c>
      <c r="H830" s="7"/>
      <c r="I830" s="141"/>
      <c r="J830" s="7"/>
      <c r="K830" s="69"/>
      <c r="L830" s="7"/>
      <c r="M830" s="7"/>
      <c r="N830" s="7"/>
      <c r="O830" s="7"/>
      <c r="P830" s="7"/>
      <c r="Q830" s="18">
        <f t="shared" si="39"/>
        <v>110.09</v>
      </c>
      <c r="R830" s="18">
        <f t="shared" si="40"/>
        <v>0</v>
      </c>
      <c r="S830" s="18">
        <f t="shared" si="41"/>
        <v>110.09</v>
      </c>
    </row>
    <row r="831" spans="1:19" x14ac:dyDescent="0.25">
      <c r="A831" s="45" t="s">
        <v>3974</v>
      </c>
      <c r="B831" s="30" t="s">
        <v>3975</v>
      </c>
      <c r="C831" s="30">
        <v>559</v>
      </c>
      <c r="D831" s="32" t="s">
        <v>3976</v>
      </c>
      <c r="E831" s="9" t="s">
        <v>3721</v>
      </c>
      <c r="F831" s="58">
        <v>41985</v>
      </c>
      <c r="G831" s="29"/>
      <c r="H831" s="7"/>
      <c r="I831" s="141"/>
      <c r="J831" s="7"/>
      <c r="K831" s="69"/>
      <c r="L831" s="7"/>
      <c r="M831" s="7"/>
      <c r="N831" s="7"/>
      <c r="O831" s="7"/>
      <c r="P831" s="7"/>
      <c r="Q831" s="18">
        <f t="shared" si="39"/>
        <v>0</v>
      </c>
      <c r="R831" s="18">
        <f t="shared" si="40"/>
        <v>0</v>
      </c>
      <c r="S831" s="18">
        <f t="shared" si="41"/>
        <v>0</v>
      </c>
    </row>
    <row r="832" spans="1:19" x14ac:dyDescent="0.25">
      <c r="A832" s="45" t="s">
        <v>3977</v>
      </c>
      <c r="B832" s="30" t="s">
        <v>2151</v>
      </c>
      <c r="C832" s="30">
        <v>560</v>
      </c>
      <c r="D832" s="32" t="s">
        <v>3978</v>
      </c>
      <c r="E832" s="9" t="s">
        <v>3721</v>
      </c>
      <c r="F832" s="58">
        <v>41985</v>
      </c>
      <c r="G832" s="29">
        <f>126.94</f>
        <v>126.94</v>
      </c>
      <c r="H832" s="7"/>
      <c r="I832" s="141"/>
      <c r="J832" s="7"/>
      <c r="K832" s="69"/>
      <c r="L832" s="7"/>
      <c r="M832" s="7"/>
      <c r="N832" s="7"/>
      <c r="O832" s="7"/>
      <c r="P832" s="7"/>
      <c r="Q832" s="18">
        <f t="shared" si="39"/>
        <v>126.94</v>
      </c>
      <c r="R832" s="18">
        <f t="shared" si="40"/>
        <v>0</v>
      </c>
      <c r="S832" s="18">
        <f t="shared" si="41"/>
        <v>126.94</v>
      </c>
    </row>
    <row r="833" spans="1:19" x14ac:dyDescent="0.25">
      <c r="A833" s="45" t="s">
        <v>3979</v>
      </c>
      <c r="B833" s="30" t="s">
        <v>3980</v>
      </c>
      <c r="C833" s="30">
        <v>561</v>
      </c>
      <c r="D833" s="32" t="s">
        <v>3981</v>
      </c>
      <c r="E833" s="9" t="s">
        <v>3721</v>
      </c>
      <c r="F833" s="58">
        <v>41985</v>
      </c>
      <c r="G833" s="29">
        <f>40.7</f>
        <v>40.700000000000003</v>
      </c>
      <c r="H833" s="7"/>
      <c r="I833" s="141"/>
      <c r="J833" s="7"/>
      <c r="K833" s="69"/>
      <c r="L833" s="7"/>
      <c r="M833" s="7"/>
      <c r="N833" s="7"/>
      <c r="O833" s="7"/>
      <c r="P833" s="7"/>
      <c r="Q833" s="18">
        <f t="shared" si="39"/>
        <v>40.700000000000003</v>
      </c>
      <c r="R833" s="18">
        <f t="shared" si="40"/>
        <v>0</v>
      </c>
      <c r="S833" s="18">
        <f t="shared" si="41"/>
        <v>40.700000000000003</v>
      </c>
    </row>
    <row r="834" spans="1:19" x14ac:dyDescent="0.25">
      <c r="A834" s="45" t="s">
        <v>3979</v>
      </c>
      <c r="B834" s="30" t="s">
        <v>3980</v>
      </c>
      <c r="C834" s="30">
        <v>561</v>
      </c>
      <c r="D834" s="32" t="s">
        <v>3982</v>
      </c>
      <c r="E834" s="9" t="s">
        <v>3721</v>
      </c>
      <c r="F834" s="58">
        <v>41985</v>
      </c>
      <c r="G834" s="29">
        <f>41.4</f>
        <v>41.4</v>
      </c>
      <c r="H834" s="7"/>
      <c r="I834" s="141"/>
      <c r="J834" s="7"/>
      <c r="K834" s="69"/>
      <c r="L834" s="7"/>
      <c r="M834" s="7"/>
      <c r="N834" s="7"/>
      <c r="O834" s="7"/>
      <c r="P834" s="7"/>
      <c r="Q834" s="18">
        <f t="shared" si="39"/>
        <v>41.4</v>
      </c>
      <c r="R834" s="18">
        <f t="shared" si="40"/>
        <v>0</v>
      </c>
      <c r="S834" s="18">
        <f t="shared" si="41"/>
        <v>41.4</v>
      </c>
    </row>
    <row r="835" spans="1:19" x14ac:dyDescent="0.25">
      <c r="A835" s="45" t="s">
        <v>3979</v>
      </c>
      <c r="B835" s="30" t="s">
        <v>3980</v>
      </c>
      <c r="C835" s="30">
        <v>561</v>
      </c>
      <c r="D835" s="32" t="s">
        <v>3983</v>
      </c>
      <c r="E835" s="9" t="s">
        <v>3721</v>
      </c>
      <c r="F835" s="58">
        <v>41985</v>
      </c>
      <c r="G835" s="29">
        <f>40</f>
        <v>40</v>
      </c>
      <c r="H835" s="7"/>
      <c r="I835" s="141"/>
      <c r="J835" s="7"/>
      <c r="K835" s="69"/>
      <c r="L835" s="7"/>
      <c r="M835" s="7"/>
      <c r="N835" s="7"/>
      <c r="O835" s="7"/>
      <c r="P835" s="7"/>
      <c r="Q835" s="18">
        <f t="shared" si="39"/>
        <v>40</v>
      </c>
      <c r="R835" s="18">
        <f t="shared" si="40"/>
        <v>0</v>
      </c>
      <c r="S835" s="18">
        <f t="shared" si="41"/>
        <v>40</v>
      </c>
    </row>
    <row r="836" spans="1:19" x14ac:dyDescent="0.25">
      <c r="A836" s="45" t="s">
        <v>3979</v>
      </c>
      <c r="B836" s="30" t="s">
        <v>3980</v>
      </c>
      <c r="C836" s="30">
        <v>561</v>
      </c>
      <c r="D836" s="32" t="s">
        <v>3984</v>
      </c>
      <c r="E836" s="9" t="s">
        <v>3721</v>
      </c>
      <c r="F836" s="58">
        <v>41985</v>
      </c>
      <c r="G836" s="29">
        <f>50</f>
        <v>50</v>
      </c>
      <c r="H836" s="7"/>
      <c r="I836" s="141"/>
      <c r="J836" s="7"/>
      <c r="K836" s="69"/>
      <c r="L836" s="7"/>
      <c r="M836" s="7"/>
      <c r="N836" s="7"/>
      <c r="O836" s="7"/>
      <c r="P836" s="7"/>
      <c r="Q836" s="18">
        <f t="shared" si="39"/>
        <v>50</v>
      </c>
      <c r="R836" s="18">
        <f t="shared" si="40"/>
        <v>0</v>
      </c>
      <c r="S836" s="18">
        <f t="shared" si="41"/>
        <v>50</v>
      </c>
    </row>
    <row r="837" spans="1:19" x14ac:dyDescent="0.25">
      <c r="A837" s="45" t="s">
        <v>3985</v>
      </c>
      <c r="B837" s="30" t="s">
        <v>3986</v>
      </c>
      <c r="C837" s="30">
        <v>562</v>
      </c>
      <c r="D837" s="32" t="s">
        <v>3987</v>
      </c>
      <c r="E837" s="9" t="s">
        <v>3721</v>
      </c>
      <c r="F837" s="58">
        <v>41988</v>
      </c>
      <c r="G837" s="29">
        <f>154.53</f>
        <v>154.53</v>
      </c>
      <c r="H837" s="7"/>
      <c r="I837" s="141"/>
      <c r="J837" s="7"/>
      <c r="K837" s="69"/>
      <c r="L837" s="7"/>
      <c r="M837" s="7"/>
      <c r="N837" s="7"/>
      <c r="O837" s="7"/>
      <c r="P837" s="7"/>
      <c r="Q837" s="18">
        <f t="shared" si="39"/>
        <v>154.53</v>
      </c>
      <c r="R837" s="18">
        <f t="shared" si="40"/>
        <v>0</v>
      </c>
      <c r="S837" s="18">
        <f t="shared" si="41"/>
        <v>154.53</v>
      </c>
    </row>
    <row r="838" spans="1:19" x14ac:dyDescent="0.25">
      <c r="A838" s="45" t="s">
        <v>3985</v>
      </c>
      <c r="B838" s="30" t="s">
        <v>3986</v>
      </c>
      <c r="C838" s="30">
        <v>562</v>
      </c>
      <c r="D838" s="32" t="s">
        <v>3988</v>
      </c>
      <c r="E838" s="9" t="s">
        <v>3721</v>
      </c>
      <c r="F838" s="58">
        <v>41988</v>
      </c>
      <c r="G838" s="29">
        <f>206.93</f>
        <v>206.93</v>
      </c>
      <c r="H838" s="7"/>
      <c r="I838" s="141"/>
      <c r="J838" s="7"/>
      <c r="K838" s="69"/>
      <c r="L838" s="7"/>
      <c r="M838" s="7"/>
      <c r="N838" s="7"/>
      <c r="O838" s="7"/>
      <c r="P838" s="7"/>
      <c r="Q838" s="18">
        <f t="shared" si="39"/>
        <v>206.93</v>
      </c>
      <c r="R838" s="18">
        <f t="shared" si="40"/>
        <v>0</v>
      </c>
      <c r="S838" s="18">
        <f t="shared" si="41"/>
        <v>206.93</v>
      </c>
    </row>
    <row r="839" spans="1:19" x14ac:dyDescent="0.25">
      <c r="A839" s="45" t="s">
        <v>3989</v>
      </c>
      <c r="B839" s="30" t="s">
        <v>3990</v>
      </c>
      <c r="C839" s="30">
        <v>563</v>
      </c>
      <c r="D839" s="32" t="s">
        <v>3991</v>
      </c>
      <c r="E839" s="9" t="s">
        <v>3721</v>
      </c>
      <c r="F839" s="58">
        <v>41988</v>
      </c>
      <c r="G839" s="29">
        <f>62.33</f>
        <v>62.33</v>
      </c>
      <c r="H839" s="7"/>
      <c r="I839" s="141"/>
      <c r="J839" s="7"/>
      <c r="K839" s="69"/>
      <c r="L839" s="7"/>
      <c r="M839" s="7"/>
      <c r="N839" s="7"/>
      <c r="O839" s="7"/>
      <c r="P839" s="7"/>
      <c r="Q839" s="18">
        <f t="shared" si="39"/>
        <v>62.33</v>
      </c>
      <c r="R839" s="18">
        <f t="shared" si="40"/>
        <v>0</v>
      </c>
      <c r="S839" s="18">
        <f t="shared" si="41"/>
        <v>62.33</v>
      </c>
    </row>
    <row r="840" spans="1:19" x14ac:dyDescent="0.25">
      <c r="A840" s="45" t="s">
        <v>3989</v>
      </c>
      <c r="B840" s="30" t="s">
        <v>3990</v>
      </c>
      <c r="C840" s="30">
        <v>563</v>
      </c>
      <c r="D840" s="32" t="s">
        <v>3992</v>
      </c>
      <c r="E840" s="9" t="s">
        <v>3721</v>
      </c>
      <c r="F840" s="58">
        <v>41988</v>
      </c>
      <c r="G840" s="29">
        <f>176.44+99.21+117.45+69.51+107.92+241.27+172</f>
        <v>983.8</v>
      </c>
      <c r="H840" s="7"/>
      <c r="I840" s="141"/>
      <c r="J840" s="7"/>
      <c r="K840" s="69"/>
      <c r="L840" s="7"/>
      <c r="M840" s="7"/>
      <c r="N840" s="7"/>
      <c r="O840" s="7"/>
      <c r="P840" s="7"/>
      <c r="Q840" s="18">
        <f t="shared" si="39"/>
        <v>983.8</v>
      </c>
      <c r="R840" s="18">
        <f t="shared" si="40"/>
        <v>0</v>
      </c>
      <c r="S840" s="18">
        <f t="shared" si="41"/>
        <v>983.8</v>
      </c>
    </row>
    <row r="841" spans="1:19" x14ac:dyDescent="0.25">
      <c r="A841" s="45" t="s">
        <v>3993</v>
      </c>
      <c r="B841" s="30" t="s">
        <v>3994</v>
      </c>
      <c r="C841" s="30">
        <v>564</v>
      </c>
      <c r="D841" s="32" t="s">
        <v>3995</v>
      </c>
      <c r="E841" s="9" t="s">
        <v>3721</v>
      </c>
      <c r="F841" s="58">
        <v>41988</v>
      </c>
      <c r="G841" s="29">
        <f>365.23</f>
        <v>365.23</v>
      </c>
      <c r="H841" s="7"/>
      <c r="I841" s="141"/>
      <c r="J841" s="7"/>
      <c r="K841" s="69"/>
      <c r="L841" s="7"/>
      <c r="M841" s="7"/>
      <c r="N841" s="7"/>
      <c r="O841" s="7"/>
      <c r="P841" s="7"/>
      <c r="Q841" s="18">
        <f t="shared" si="39"/>
        <v>365.23</v>
      </c>
      <c r="R841" s="18">
        <f t="shared" si="40"/>
        <v>0</v>
      </c>
      <c r="S841" s="18">
        <f t="shared" si="41"/>
        <v>365.23</v>
      </c>
    </row>
    <row r="842" spans="1:19" x14ac:dyDescent="0.25">
      <c r="A842" s="45" t="s">
        <v>3996</v>
      </c>
      <c r="B842" s="30" t="s">
        <v>3997</v>
      </c>
      <c r="C842" s="30">
        <v>565</v>
      </c>
      <c r="D842" s="32" t="s">
        <v>3998</v>
      </c>
      <c r="E842" s="9" t="s">
        <v>3721</v>
      </c>
      <c r="F842" s="58">
        <v>41988</v>
      </c>
      <c r="G842" s="29">
        <f>320+5297.3+403.67+251.6+217.45+360.84+369.12+54.32+41.3</f>
        <v>7315.6</v>
      </c>
      <c r="H842" s="7"/>
      <c r="I842" s="96">
        <v>1500</v>
      </c>
      <c r="J842" s="7"/>
      <c r="K842" s="69"/>
      <c r="L842" s="7"/>
      <c r="M842" s="7"/>
      <c r="N842" s="7"/>
      <c r="O842" s="7"/>
      <c r="P842" s="7"/>
      <c r="Q842" s="18">
        <f t="shared" si="39"/>
        <v>8815.6</v>
      </c>
      <c r="R842" s="18">
        <f t="shared" si="40"/>
        <v>0</v>
      </c>
      <c r="S842" s="18">
        <f t="shared" si="41"/>
        <v>8815.6</v>
      </c>
    </row>
    <row r="843" spans="1:19" x14ac:dyDescent="0.25">
      <c r="A843" s="45" t="s">
        <v>3996</v>
      </c>
      <c r="B843" s="30" t="s">
        <v>3997</v>
      </c>
      <c r="C843" s="30">
        <v>565</v>
      </c>
      <c r="D843" s="32" t="s">
        <v>4324</v>
      </c>
      <c r="E843" s="9" t="s">
        <v>3721</v>
      </c>
      <c r="F843" s="58">
        <v>41988</v>
      </c>
      <c r="G843" s="29">
        <f>107.6</f>
        <v>107.6</v>
      </c>
      <c r="H843" s="7"/>
      <c r="I843" s="141"/>
      <c r="J843" s="7"/>
      <c r="K843" s="69"/>
      <c r="L843" s="7"/>
      <c r="M843" s="7"/>
      <c r="N843" s="7"/>
      <c r="O843" s="7"/>
      <c r="P843" s="7"/>
      <c r="Q843" s="18">
        <f t="shared" si="39"/>
        <v>107.6</v>
      </c>
      <c r="R843" s="18">
        <f t="shared" si="40"/>
        <v>0</v>
      </c>
      <c r="S843" s="18">
        <f t="shared" si="41"/>
        <v>107.6</v>
      </c>
    </row>
    <row r="844" spans="1:19" x14ac:dyDescent="0.25">
      <c r="A844" s="45" t="s">
        <v>3999</v>
      </c>
      <c r="B844" s="30" t="s">
        <v>4000</v>
      </c>
      <c r="C844" s="30">
        <v>566</v>
      </c>
      <c r="D844" s="32" t="s">
        <v>4001</v>
      </c>
      <c r="E844" s="9" t="s">
        <v>3721</v>
      </c>
      <c r="F844" s="58">
        <v>41988</v>
      </c>
      <c r="G844" s="29">
        <f>297.77+91.95+77.56+77.55+95.26+295+631.3+64.9</f>
        <v>1631.29</v>
      </c>
      <c r="H844" s="7"/>
      <c r="I844" s="139">
        <f>750+750+750+750</f>
        <v>3000</v>
      </c>
      <c r="J844" s="7"/>
      <c r="K844" s="69"/>
      <c r="L844" s="7"/>
      <c r="M844" s="7"/>
      <c r="N844" s="7"/>
      <c r="O844" s="7"/>
      <c r="P844" s="7"/>
      <c r="Q844" s="18">
        <f t="shared" si="39"/>
        <v>4631.29</v>
      </c>
      <c r="R844" s="18">
        <f t="shared" si="40"/>
        <v>0</v>
      </c>
      <c r="S844" s="18">
        <f t="shared" si="41"/>
        <v>4631.29</v>
      </c>
    </row>
    <row r="845" spans="1:19" x14ac:dyDescent="0.25">
      <c r="A845" s="45" t="s">
        <v>4002</v>
      </c>
      <c r="B845" s="30" t="s">
        <v>4003</v>
      </c>
      <c r="C845" s="64">
        <v>567</v>
      </c>
      <c r="D845" s="32" t="s">
        <v>4004</v>
      </c>
      <c r="E845" s="9" t="s">
        <v>3721</v>
      </c>
      <c r="F845" s="58">
        <v>41988</v>
      </c>
      <c r="G845" s="29">
        <f>142+82.07+887.56+104.08+104.08+236.6+104.08+24+41.3+262.64+104.08</f>
        <v>2092.4899999999993</v>
      </c>
      <c r="H845" s="7"/>
      <c r="I845" s="139">
        <f>750+750+750+750+750</f>
        <v>3750</v>
      </c>
      <c r="J845" s="7"/>
      <c r="K845" s="69"/>
      <c r="L845" s="7"/>
      <c r="M845" s="7"/>
      <c r="N845" s="7"/>
      <c r="O845" s="7"/>
      <c r="P845" s="7"/>
      <c r="Q845" s="18">
        <f t="shared" si="39"/>
        <v>5842.49</v>
      </c>
      <c r="R845" s="18">
        <f t="shared" si="40"/>
        <v>0</v>
      </c>
      <c r="S845" s="18">
        <f t="shared" si="41"/>
        <v>5842.49</v>
      </c>
    </row>
    <row r="846" spans="1:19" x14ac:dyDescent="0.25">
      <c r="A846" s="45" t="s">
        <v>4005</v>
      </c>
      <c r="B846" s="30" t="s">
        <v>4006</v>
      </c>
      <c r="C846" s="64">
        <v>568</v>
      </c>
      <c r="D846" s="32" t="s">
        <v>4007</v>
      </c>
      <c r="E846" s="9" t="s">
        <v>3721</v>
      </c>
      <c r="F846" s="58">
        <v>41989</v>
      </c>
      <c r="G846" s="29">
        <f>128.4</f>
        <v>128.4</v>
      </c>
      <c r="H846" s="7"/>
      <c r="I846" s="141"/>
      <c r="J846" s="7"/>
      <c r="K846" s="69"/>
      <c r="L846" s="7"/>
      <c r="M846" s="7"/>
      <c r="N846" s="7"/>
      <c r="O846" s="7"/>
      <c r="P846" s="7"/>
      <c r="Q846" s="18">
        <f t="shared" si="39"/>
        <v>128.4</v>
      </c>
      <c r="R846" s="18">
        <f t="shared" si="40"/>
        <v>0</v>
      </c>
      <c r="S846" s="18">
        <f t="shared" si="41"/>
        <v>128.4</v>
      </c>
    </row>
    <row r="847" spans="1:19" x14ac:dyDescent="0.25">
      <c r="A847" s="45" t="s">
        <v>4008</v>
      </c>
      <c r="B847" s="30" t="s">
        <v>4009</v>
      </c>
      <c r="C847" s="64">
        <v>569</v>
      </c>
      <c r="D847" s="32" t="s">
        <v>4010</v>
      </c>
      <c r="E847" s="9" t="s">
        <v>3721</v>
      </c>
      <c r="F847" s="58">
        <v>41989</v>
      </c>
      <c r="G847" s="29">
        <f>431.16</f>
        <v>431.16</v>
      </c>
      <c r="H847" s="7"/>
      <c r="I847" s="141"/>
      <c r="J847" s="7"/>
      <c r="K847" s="69"/>
      <c r="L847" s="7"/>
      <c r="M847" s="7"/>
      <c r="N847" s="7"/>
      <c r="O847" s="7"/>
      <c r="P847" s="7"/>
      <c r="Q847" s="18">
        <f t="shared" si="39"/>
        <v>431.16</v>
      </c>
      <c r="R847" s="18">
        <f t="shared" si="40"/>
        <v>0</v>
      </c>
      <c r="S847" s="18">
        <f t="shared" si="41"/>
        <v>431.16</v>
      </c>
    </row>
    <row r="848" spans="1:19" x14ac:dyDescent="0.25">
      <c r="A848" s="45" t="s">
        <v>4011</v>
      </c>
      <c r="B848" s="30" t="s">
        <v>4012</v>
      </c>
      <c r="C848" s="64">
        <v>570</v>
      </c>
      <c r="D848" s="32" t="s">
        <v>4013</v>
      </c>
      <c r="E848" s="9" t="s">
        <v>3721</v>
      </c>
      <c r="F848" s="58">
        <v>41989</v>
      </c>
      <c r="G848" s="29">
        <f>118</f>
        <v>118</v>
      </c>
      <c r="H848" s="7"/>
      <c r="I848" s="141"/>
      <c r="J848" s="7"/>
      <c r="K848" s="69"/>
      <c r="L848" s="7"/>
      <c r="M848" s="7"/>
      <c r="N848" s="7"/>
      <c r="O848" s="7"/>
      <c r="P848" s="7"/>
      <c r="Q848" s="18">
        <f t="shared" si="39"/>
        <v>118</v>
      </c>
      <c r="R848" s="18">
        <f t="shared" si="40"/>
        <v>0</v>
      </c>
      <c r="S848" s="18">
        <f t="shared" si="41"/>
        <v>118</v>
      </c>
    </row>
    <row r="849" spans="1:19" x14ac:dyDescent="0.25">
      <c r="A849" s="45" t="s">
        <v>4014</v>
      </c>
      <c r="B849" s="30" t="s">
        <v>4015</v>
      </c>
      <c r="C849" s="64">
        <v>571</v>
      </c>
      <c r="D849" s="32" t="s">
        <v>4016</v>
      </c>
      <c r="E849" s="9" t="s">
        <v>3721</v>
      </c>
      <c r="F849" s="58">
        <v>41990</v>
      </c>
      <c r="G849" s="29">
        <f>241.9+631.3+64.9+348.1+64.9+631.3+64.9+280+631.3+733.13+182.31+5549+50.3+192+325.94+63.89+43.57+335.25+175+1373.8+35+35+41+1724.8+395.07+1283.2+2138.9+329.56+22.43+683.24</f>
        <v>18670.990000000002</v>
      </c>
      <c r="H849" s="7"/>
      <c r="I849" s="139">
        <v>3850</v>
      </c>
      <c r="J849" s="7"/>
      <c r="K849" s="69">
        <v>2888</v>
      </c>
      <c r="L849" s="7"/>
      <c r="M849" s="7"/>
      <c r="N849" s="7"/>
      <c r="O849" s="7"/>
      <c r="P849" s="7"/>
      <c r="Q849" s="18">
        <f t="shared" si="39"/>
        <v>25408.99</v>
      </c>
      <c r="R849" s="18">
        <f t="shared" si="40"/>
        <v>0</v>
      </c>
      <c r="S849" s="18">
        <f t="shared" si="41"/>
        <v>25408.99</v>
      </c>
    </row>
    <row r="850" spans="1:19" x14ac:dyDescent="0.25">
      <c r="A850" s="45" t="s">
        <v>4014</v>
      </c>
      <c r="B850" s="30" t="s">
        <v>4015</v>
      </c>
      <c r="C850" s="64">
        <v>571</v>
      </c>
      <c r="D850" s="32" t="s">
        <v>4322</v>
      </c>
      <c r="E850" s="9" t="s">
        <v>3721</v>
      </c>
      <c r="F850" s="58">
        <v>41990</v>
      </c>
      <c r="G850" s="29">
        <v>75</v>
      </c>
      <c r="H850" s="7"/>
      <c r="I850" s="141"/>
      <c r="J850" s="7"/>
      <c r="K850" s="69"/>
      <c r="L850" s="7"/>
      <c r="M850" s="7"/>
      <c r="N850" s="7"/>
      <c r="O850" s="7"/>
      <c r="P850" s="7"/>
      <c r="Q850" s="18">
        <f t="shared" ref="Q850:Q881" si="42">+G850+I850+K850+M850+O850</f>
        <v>75</v>
      </c>
      <c r="R850" s="18">
        <f t="shared" ref="R850:R881" si="43">+H850+J850+L850+N850+P850</f>
        <v>0</v>
      </c>
      <c r="S850" s="18">
        <f t="shared" ref="S850:S881" si="44">+Q850+R850</f>
        <v>75</v>
      </c>
    </row>
    <row r="851" spans="1:19" x14ac:dyDescent="0.25">
      <c r="A851" s="45" t="s">
        <v>4017</v>
      </c>
      <c r="B851" s="30" t="s">
        <v>4018</v>
      </c>
      <c r="C851" s="64">
        <v>572</v>
      </c>
      <c r="D851" s="32" t="s">
        <v>4019</v>
      </c>
      <c r="E851" s="9" t="s">
        <v>3721</v>
      </c>
      <c r="F851" s="58">
        <v>41990</v>
      </c>
      <c r="G851" s="29">
        <f>56.35</f>
        <v>56.35</v>
      </c>
      <c r="H851" s="7"/>
      <c r="I851" s="141"/>
      <c r="J851" s="7"/>
      <c r="K851" s="69"/>
      <c r="L851" s="7"/>
      <c r="M851" s="7"/>
      <c r="N851" s="7"/>
      <c r="O851" s="7"/>
      <c r="P851" s="7"/>
      <c r="Q851" s="18">
        <f t="shared" si="42"/>
        <v>56.35</v>
      </c>
      <c r="R851" s="18">
        <f t="shared" si="43"/>
        <v>0</v>
      </c>
      <c r="S851" s="18">
        <f t="shared" si="44"/>
        <v>56.35</v>
      </c>
    </row>
    <row r="852" spans="1:19" x14ac:dyDescent="0.25">
      <c r="A852" s="45" t="s">
        <v>4017</v>
      </c>
      <c r="B852" s="30" t="s">
        <v>4018</v>
      </c>
      <c r="C852" s="64">
        <v>572</v>
      </c>
      <c r="D852" s="32" t="s">
        <v>4020</v>
      </c>
      <c r="E852" s="9" t="s">
        <v>3721</v>
      </c>
      <c r="F852" s="58">
        <v>41990</v>
      </c>
      <c r="G852" s="29">
        <f>56.35</f>
        <v>56.35</v>
      </c>
      <c r="H852" s="7"/>
      <c r="I852" s="141"/>
      <c r="J852" s="7"/>
      <c r="K852" s="69"/>
      <c r="L852" s="7"/>
      <c r="M852" s="7"/>
      <c r="N852" s="7"/>
      <c r="O852" s="7"/>
      <c r="P852" s="7"/>
      <c r="Q852" s="18">
        <f t="shared" si="42"/>
        <v>56.35</v>
      </c>
      <c r="R852" s="18">
        <f t="shared" si="43"/>
        <v>0</v>
      </c>
      <c r="S852" s="18">
        <f t="shared" si="44"/>
        <v>56.35</v>
      </c>
    </row>
    <row r="853" spans="1:19" x14ac:dyDescent="0.25">
      <c r="A853" s="45" t="s">
        <v>4026</v>
      </c>
      <c r="B853" s="30" t="s">
        <v>4027</v>
      </c>
      <c r="C853" s="64">
        <v>573</v>
      </c>
      <c r="D853" s="32" t="s">
        <v>4028</v>
      </c>
      <c r="E853" s="9" t="s">
        <v>3721</v>
      </c>
      <c r="F853" s="58">
        <v>41990</v>
      </c>
      <c r="G853" s="29">
        <f>113.98</f>
        <v>113.98</v>
      </c>
      <c r="H853" s="7"/>
      <c r="I853" s="141"/>
      <c r="J853" s="7"/>
      <c r="K853" s="69"/>
      <c r="L853" s="7"/>
      <c r="M853" s="7"/>
      <c r="N853" s="7"/>
      <c r="O853" s="7"/>
      <c r="P853" s="7"/>
      <c r="Q853" s="18">
        <f t="shared" si="42"/>
        <v>113.98</v>
      </c>
      <c r="R853" s="18">
        <f t="shared" si="43"/>
        <v>0</v>
      </c>
      <c r="S853" s="18">
        <f t="shared" si="44"/>
        <v>113.98</v>
      </c>
    </row>
    <row r="854" spans="1:19" x14ac:dyDescent="0.25">
      <c r="A854" s="45" t="s">
        <v>4029</v>
      </c>
      <c r="B854" s="30" t="s">
        <v>4030</v>
      </c>
      <c r="C854" s="64">
        <v>574</v>
      </c>
      <c r="D854" s="32" t="s">
        <v>4031</v>
      </c>
      <c r="E854" s="9" t="s">
        <v>3721</v>
      </c>
      <c r="F854" s="58">
        <v>41990</v>
      </c>
      <c r="G854" s="29">
        <f>237.8</f>
        <v>237.8</v>
      </c>
      <c r="H854" s="7"/>
      <c r="I854" s="141"/>
      <c r="J854" s="7"/>
      <c r="K854" s="69"/>
      <c r="L854" s="7"/>
      <c r="M854" s="7"/>
      <c r="N854" s="7"/>
      <c r="O854" s="7"/>
      <c r="P854" s="7"/>
      <c r="Q854" s="18">
        <f t="shared" si="42"/>
        <v>237.8</v>
      </c>
      <c r="R854" s="18">
        <f t="shared" si="43"/>
        <v>0</v>
      </c>
      <c r="S854" s="18">
        <f t="shared" si="44"/>
        <v>237.8</v>
      </c>
    </row>
    <row r="855" spans="1:19" x14ac:dyDescent="0.25">
      <c r="A855" s="45" t="s">
        <v>4032</v>
      </c>
      <c r="B855" s="30" t="s">
        <v>4033</v>
      </c>
      <c r="C855" s="64">
        <v>575</v>
      </c>
      <c r="D855" s="32" t="s">
        <v>4034</v>
      </c>
      <c r="E855" s="9" t="s">
        <v>3721</v>
      </c>
      <c r="F855" s="58">
        <v>41990</v>
      </c>
      <c r="G855" s="29">
        <f>90.54</f>
        <v>90.54</v>
      </c>
      <c r="H855" s="7"/>
      <c r="I855" s="141"/>
      <c r="J855" s="7"/>
      <c r="K855" s="69"/>
      <c r="L855" s="7"/>
      <c r="M855" s="7"/>
      <c r="N855" s="7"/>
      <c r="O855" s="7"/>
      <c r="P855" s="7"/>
      <c r="Q855" s="18">
        <f t="shared" si="42"/>
        <v>90.54</v>
      </c>
      <c r="R855" s="18">
        <f t="shared" si="43"/>
        <v>0</v>
      </c>
      <c r="S855" s="18">
        <f t="shared" si="44"/>
        <v>90.54</v>
      </c>
    </row>
    <row r="856" spans="1:19" x14ac:dyDescent="0.25">
      <c r="A856" s="45" t="s">
        <v>4035</v>
      </c>
      <c r="B856" s="30" t="s">
        <v>4036</v>
      </c>
      <c r="C856" s="64">
        <v>576</v>
      </c>
      <c r="D856" s="32" t="s">
        <v>4037</v>
      </c>
      <c r="E856" s="9" t="s">
        <v>3721</v>
      </c>
      <c r="F856" s="58">
        <v>41990</v>
      </c>
      <c r="G856" s="29">
        <f>169.51</f>
        <v>169.51</v>
      </c>
      <c r="H856" s="7"/>
      <c r="I856" s="141"/>
      <c r="J856" s="7"/>
      <c r="K856" s="69"/>
      <c r="L856" s="7"/>
      <c r="M856" s="7"/>
      <c r="N856" s="7"/>
      <c r="O856" s="7"/>
      <c r="P856" s="7"/>
      <c r="Q856" s="18">
        <f t="shared" si="42"/>
        <v>169.51</v>
      </c>
      <c r="R856" s="18">
        <f t="shared" si="43"/>
        <v>0</v>
      </c>
      <c r="S856" s="18">
        <f t="shared" si="44"/>
        <v>169.51</v>
      </c>
    </row>
    <row r="857" spans="1:19" x14ac:dyDescent="0.25">
      <c r="A857" s="45" t="s">
        <v>4038</v>
      </c>
      <c r="B857" s="30" t="s">
        <v>4039</v>
      </c>
      <c r="C857" s="64">
        <v>577</v>
      </c>
      <c r="D857" s="32" t="s">
        <v>4040</v>
      </c>
      <c r="E857" s="9" t="s">
        <v>3721</v>
      </c>
      <c r="F857" s="58">
        <v>41990</v>
      </c>
      <c r="G857" s="29"/>
      <c r="H857" s="7"/>
      <c r="I857" s="141"/>
      <c r="J857" s="7"/>
      <c r="K857" s="69"/>
      <c r="L857" s="7"/>
      <c r="M857" s="7"/>
      <c r="N857" s="7"/>
      <c r="O857" s="7"/>
      <c r="P857" s="7"/>
      <c r="Q857" s="18">
        <f t="shared" si="42"/>
        <v>0</v>
      </c>
      <c r="R857" s="18">
        <f t="shared" si="43"/>
        <v>0</v>
      </c>
      <c r="S857" s="18">
        <f t="shared" si="44"/>
        <v>0</v>
      </c>
    </row>
    <row r="858" spans="1:19" x14ac:dyDescent="0.25">
      <c r="A858" s="45" t="s">
        <v>4041</v>
      </c>
      <c r="B858" s="30" t="s">
        <v>4042</v>
      </c>
      <c r="C858" s="64">
        <v>578</v>
      </c>
      <c r="D858" s="32" t="s">
        <v>4043</v>
      </c>
      <c r="E858" s="9" t="s">
        <v>3721</v>
      </c>
      <c r="F858" s="58">
        <v>41991</v>
      </c>
      <c r="G858" s="29">
        <f>153.12</f>
        <v>153.12</v>
      </c>
      <c r="H858" s="7"/>
      <c r="I858" s="141"/>
      <c r="J858" s="7"/>
      <c r="K858" s="69"/>
      <c r="L858" s="7"/>
      <c r="M858" s="7"/>
      <c r="N858" s="7"/>
      <c r="O858" s="7"/>
      <c r="P858" s="7"/>
      <c r="Q858" s="18">
        <f t="shared" si="42"/>
        <v>153.12</v>
      </c>
      <c r="R858" s="18">
        <f t="shared" si="43"/>
        <v>0</v>
      </c>
      <c r="S858" s="18">
        <f t="shared" si="44"/>
        <v>153.12</v>
      </c>
    </row>
    <row r="859" spans="1:19" x14ac:dyDescent="0.25">
      <c r="A859" s="45" t="s">
        <v>4041</v>
      </c>
      <c r="B859" s="30" t="s">
        <v>4042</v>
      </c>
      <c r="C859" s="64">
        <v>578</v>
      </c>
      <c r="D859" s="32" t="s">
        <v>4044</v>
      </c>
      <c r="E859" s="9" t="s">
        <v>3721</v>
      </c>
      <c r="F859" s="58">
        <v>41991</v>
      </c>
      <c r="G859" s="29">
        <f>236.4</f>
        <v>236.4</v>
      </c>
      <c r="H859" s="7"/>
      <c r="I859" s="141"/>
      <c r="J859" s="7"/>
      <c r="K859" s="69"/>
      <c r="L859" s="7"/>
      <c r="M859" s="7"/>
      <c r="N859" s="7"/>
      <c r="O859" s="7"/>
      <c r="P859" s="7"/>
      <c r="Q859" s="18">
        <f t="shared" si="42"/>
        <v>236.4</v>
      </c>
      <c r="R859" s="18">
        <f t="shared" si="43"/>
        <v>0</v>
      </c>
      <c r="S859" s="18">
        <f t="shared" si="44"/>
        <v>236.4</v>
      </c>
    </row>
    <row r="860" spans="1:19" x14ac:dyDescent="0.25">
      <c r="A860" s="45" t="s">
        <v>4045</v>
      </c>
      <c r="B860" s="30" t="s">
        <v>4046</v>
      </c>
      <c r="C860" s="64">
        <v>579</v>
      </c>
      <c r="D860" s="32" t="s">
        <v>4047</v>
      </c>
      <c r="E860" s="9" t="s">
        <v>3721</v>
      </c>
      <c r="F860" s="58">
        <v>41991</v>
      </c>
      <c r="G860" s="29">
        <f>56.35</f>
        <v>56.35</v>
      </c>
      <c r="H860" s="7"/>
      <c r="I860" s="141"/>
      <c r="J860" s="7"/>
      <c r="K860" s="69"/>
      <c r="L860" s="7"/>
      <c r="M860" s="7"/>
      <c r="N860" s="7"/>
      <c r="O860" s="7"/>
      <c r="P860" s="7"/>
      <c r="Q860" s="18">
        <f t="shared" si="42"/>
        <v>56.35</v>
      </c>
      <c r="R860" s="18">
        <f t="shared" si="43"/>
        <v>0</v>
      </c>
      <c r="S860" s="18">
        <f t="shared" si="44"/>
        <v>56.35</v>
      </c>
    </row>
    <row r="861" spans="1:19" x14ac:dyDescent="0.25">
      <c r="A861" s="45" t="s">
        <v>4045</v>
      </c>
      <c r="B861" s="30" t="s">
        <v>4046</v>
      </c>
      <c r="C861" s="64">
        <v>579</v>
      </c>
      <c r="D861" s="32" t="s">
        <v>4048</v>
      </c>
      <c r="E861" s="9" t="s">
        <v>3721</v>
      </c>
      <c r="F861" s="58">
        <v>41991</v>
      </c>
      <c r="G861" s="29">
        <f>56.35</f>
        <v>56.35</v>
      </c>
      <c r="H861" s="7"/>
      <c r="I861" s="141"/>
      <c r="J861" s="7"/>
      <c r="K861" s="69"/>
      <c r="L861" s="7"/>
      <c r="M861" s="7"/>
      <c r="N861" s="7"/>
      <c r="O861" s="7"/>
      <c r="P861" s="7"/>
      <c r="Q861" s="18">
        <f t="shared" si="42"/>
        <v>56.35</v>
      </c>
      <c r="R861" s="18">
        <f t="shared" si="43"/>
        <v>0</v>
      </c>
      <c r="S861" s="18">
        <f t="shared" si="44"/>
        <v>56.35</v>
      </c>
    </row>
    <row r="862" spans="1:19" x14ac:dyDescent="0.25">
      <c r="A862" s="45" t="s">
        <v>4045</v>
      </c>
      <c r="B862" s="30" t="s">
        <v>4046</v>
      </c>
      <c r="C862" s="64">
        <v>579</v>
      </c>
      <c r="D862" s="32" t="s">
        <v>4049</v>
      </c>
      <c r="E862" s="9" t="s">
        <v>3721</v>
      </c>
      <c r="F862" s="58">
        <v>41991</v>
      </c>
      <c r="G862" s="29">
        <f>441.74+106.08+51.28</f>
        <v>599.1</v>
      </c>
      <c r="H862" s="7"/>
      <c r="I862" s="141"/>
      <c r="J862" s="7"/>
      <c r="K862" s="69"/>
      <c r="L862" s="7"/>
      <c r="M862" s="7"/>
      <c r="N862" s="7"/>
      <c r="O862" s="7"/>
      <c r="P862" s="7"/>
      <c r="Q862" s="18">
        <f t="shared" si="42"/>
        <v>599.1</v>
      </c>
      <c r="R862" s="18">
        <f t="shared" si="43"/>
        <v>0</v>
      </c>
      <c r="S862" s="18">
        <f t="shared" si="44"/>
        <v>599.1</v>
      </c>
    </row>
    <row r="863" spans="1:19" x14ac:dyDescent="0.25">
      <c r="A863" s="45" t="s">
        <v>4050</v>
      </c>
      <c r="B863" s="30" t="s">
        <v>4051</v>
      </c>
      <c r="C863" s="64">
        <v>580</v>
      </c>
      <c r="D863" s="32" t="s">
        <v>4052</v>
      </c>
      <c r="E863" s="9" t="s">
        <v>3756</v>
      </c>
      <c r="F863" s="58">
        <v>41991</v>
      </c>
      <c r="G863" s="29">
        <f>5391.06+75.95+213.7+165+41.3+392.16+39.03+41.3</f>
        <v>6359.5</v>
      </c>
      <c r="H863" s="7"/>
      <c r="I863" s="139">
        <f>2250+750</f>
        <v>3000</v>
      </c>
      <c r="J863" s="7"/>
      <c r="K863" s="69"/>
      <c r="L863" s="7"/>
      <c r="M863" s="7"/>
      <c r="N863" s="7"/>
      <c r="O863" s="7"/>
      <c r="P863" s="7"/>
      <c r="Q863" s="18">
        <f t="shared" si="42"/>
        <v>9359.5</v>
      </c>
      <c r="R863" s="18">
        <f t="shared" si="43"/>
        <v>0</v>
      </c>
      <c r="S863" s="18">
        <f t="shared" si="44"/>
        <v>9359.5</v>
      </c>
    </row>
    <row r="864" spans="1:19" x14ac:dyDescent="0.25">
      <c r="A864" s="45" t="s">
        <v>4053</v>
      </c>
      <c r="B864" s="30" t="s">
        <v>4054</v>
      </c>
      <c r="C864" s="64">
        <v>581</v>
      </c>
      <c r="D864" s="32" t="s">
        <v>4055</v>
      </c>
      <c r="E864" s="9" t="s">
        <v>3721</v>
      </c>
      <c r="F864" s="58">
        <v>41992</v>
      </c>
      <c r="G864" s="29">
        <f>228.45</f>
        <v>228.45</v>
      </c>
      <c r="H864" s="7"/>
      <c r="I864" s="141"/>
      <c r="J864" s="7"/>
      <c r="K864" s="69"/>
      <c r="L864" s="7"/>
      <c r="M864" s="7"/>
      <c r="N864" s="7"/>
      <c r="O864" s="7"/>
      <c r="P864" s="7"/>
      <c r="Q864" s="18">
        <f t="shared" si="42"/>
        <v>228.45</v>
      </c>
      <c r="R864" s="18">
        <f t="shared" si="43"/>
        <v>0</v>
      </c>
      <c r="S864" s="18">
        <f t="shared" si="44"/>
        <v>228.45</v>
      </c>
    </row>
    <row r="865" spans="1:19" x14ac:dyDescent="0.25">
      <c r="A865" s="45" t="s">
        <v>4056</v>
      </c>
      <c r="B865" s="30" t="s">
        <v>4057</v>
      </c>
      <c r="C865" s="64">
        <v>582</v>
      </c>
      <c r="D865" s="32" t="s">
        <v>4058</v>
      </c>
      <c r="E865" s="9" t="s">
        <v>4059</v>
      </c>
      <c r="F865" s="58">
        <v>41992</v>
      </c>
      <c r="G865" s="29">
        <f>265.67</f>
        <v>265.67</v>
      </c>
      <c r="H865" s="7"/>
      <c r="I865" s="141"/>
      <c r="J865" s="7"/>
      <c r="K865" s="69"/>
      <c r="L865" s="7"/>
      <c r="M865" s="7"/>
      <c r="N865" s="7"/>
      <c r="O865" s="7"/>
      <c r="P865" s="7"/>
      <c r="Q865" s="18">
        <f t="shared" si="42"/>
        <v>265.67</v>
      </c>
      <c r="R865" s="18">
        <f t="shared" si="43"/>
        <v>0</v>
      </c>
      <c r="S865" s="18">
        <f t="shared" si="44"/>
        <v>265.67</v>
      </c>
    </row>
    <row r="866" spans="1:19" x14ac:dyDescent="0.25">
      <c r="A866" s="45" t="s">
        <v>4150</v>
      </c>
      <c r="B866" s="30" t="s">
        <v>4151</v>
      </c>
      <c r="C866" s="64">
        <v>583</v>
      </c>
      <c r="D866" s="32" t="s">
        <v>4152</v>
      </c>
      <c r="E866" s="9" t="s">
        <v>4179</v>
      </c>
      <c r="F866" s="14">
        <v>41992</v>
      </c>
      <c r="G866" s="29">
        <v>58.86</v>
      </c>
      <c r="H866" s="9"/>
      <c r="I866" s="144"/>
      <c r="J866" s="7"/>
      <c r="K866" s="69"/>
      <c r="L866" s="7"/>
      <c r="M866" s="7"/>
      <c r="N866" s="7"/>
      <c r="O866" s="7"/>
      <c r="P866" s="7"/>
      <c r="Q866" s="18">
        <f t="shared" si="42"/>
        <v>58.86</v>
      </c>
      <c r="R866" s="18">
        <f t="shared" si="43"/>
        <v>0</v>
      </c>
      <c r="S866" s="18">
        <f t="shared" si="44"/>
        <v>58.86</v>
      </c>
    </row>
    <row r="867" spans="1:19" x14ac:dyDescent="0.25">
      <c r="A867" s="45" t="s">
        <v>4153</v>
      </c>
      <c r="B867" s="30" t="s">
        <v>4154</v>
      </c>
      <c r="C867" s="64">
        <v>585</v>
      </c>
      <c r="D867" s="32" t="s">
        <v>4155</v>
      </c>
      <c r="E867" s="9" t="s">
        <v>4059</v>
      </c>
      <c r="F867" s="14">
        <v>41995</v>
      </c>
      <c r="G867" s="29">
        <f>40</f>
        <v>40</v>
      </c>
      <c r="H867" s="9"/>
      <c r="I867" s="144"/>
      <c r="J867" s="7"/>
      <c r="K867" s="69"/>
      <c r="L867" s="7"/>
      <c r="M867" s="7"/>
      <c r="N867" s="7"/>
      <c r="O867" s="7"/>
      <c r="P867" s="7"/>
      <c r="Q867" s="18">
        <f t="shared" si="42"/>
        <v>40</v>
      </c>
      <c r="R867" s="18">
        <f t="shared" si="43"/>
        <v>0</v>
      </c>
      <c r="S867" s="18">
        <f t="shared" si="44"/>
        <v>40</v>
      </c>
    </row>
    <row r="868" spans="1:19" x14ac:dyDescent="0.25">
      <c r="A868" s="45" t="s">
        <v>4153</v>
      </c>
      <c r="B868" s="30" t="s">
        <v>4154</v>
      </c>
      <c r="C868" s="64">
        <v>585</v>
      </c>
      <c r="D868" s="32" t="s">
        <v>4321</v>
      </c>
      <c r="E868" s="9" t="s">
        <v>4059</v>
      </c>
      <c r="F868" s="14">
        <v>41995</v>
      </c>
      <c r="G868" s="29">
        <v>41</v>
      </c>
      <c r="H868" s="9"/>
      <c r="I868" s="144"/>
      <c r="J868" s="7"/>
      <c r="K868" s="69"/>
      <c r="L868" s="7"/>
      <c r="M868" s="7"/>
      <c r="N868" s="7"/>
      <c r="O868" s="7"/>
      <c r="P868" s="7"/>
      <c r="Q868" s="18">
        <f t="shared" si="42"/>
        <v>41</v>
      </c>
      <c r="R868" s="18">
        <f t="shared" si="43"/>
        <v>0</v>
      </c>
      <c r="S868" s="18">
        <f t="shared" si="44"/>
        <v>41</v>
      </c>
    </row>
    <row r="869" spans="1:19" x14ac:dyDescent="0.25">
      <c r="A869" s="45" t="s">
        <v>4153</v>
      </c>
      <c r="B869" s="30" t="s">
        <v>4154</v>
      </c>
      <c r="C869" s="64">
        <v>585</v>
      </c>
      <c r="D869" s="32" t="s">
        <v>4156</v>
      </c>
      <c r="E869" s="9" t="s">
        <v>4059</v>
      </c>
      <c r="F869" s="14">
        <v>41995</v>
      </c>
      <c r="G869" s="29">
        <f>40</f>
        <v>40</v>
      </c>
      <c r="H869" s="9"/>
      <c r="I869" s="144"/>
      <c r="J869" s="7"/>
      <c r="K869" s="69"/>
      <c r="L869" s="7"/>
      <c r="M869" s="7"/>
      <c r="N869" s="7"/>
      <c r="O869" s="7"/>
      <c r="P869" s="7"/>
      <c r="Q869" s="18">
        <f t="shared" si="42"/>
        <v>40</v>
      </c>
      <c r="R869" s="18">
        <f t="shared" si="43"/>
        <v>0</v>
      </c>
      <c r="S869" s="18">
        <f t="shared" si="44"/>
        <v>40</v>
      </c>
    </row>
    <row r="870" spans="1:19" x14ac:dyDescent="0.25">
      <c r="A870" s="45" t="s">
        <v>4157</v>
      </c>
      <c r="B870" s="30" t="s">
        <v>4158</v>
      </c>
      <c r="C870" s="64">
        <v>586</v>
      </c>
      <c r="D870" s="32" t="s">
        <v>4159</v>
      </c>
      <c r="E870" s="9" t="s">
        <v>4059</v>
      </c>
      <c r="F870" s="14">
        <v>41995</v>
      </c>
      <c r="G870" s="29">
        <f>59.14</f>
        <v>59.14</v>
      </c>
      <c r="H870" s="9"/>
      <c r="I870" s="144"/>
      <c r="J870" s="7"/>
      <c r="K870" s="69"/>
      <c r="L870" s="7"/>
      <c r="M870" s="7"/>
      <c r="N870" s="7"/>
      <c r="O870" s="7"/>
      <c r="P870" s="7"/>
      <c r="Q870" s="18">
        <f t="shared" si="42"/>
        <v>59.14</v>
      </c>
      <c r="R870" s="18">
        <f t="shared" si="43"/>
        <v>0</v>
      </c>
      <c r="S870" s="18">
        <f t="shared" si="44"/>
        <v>59.14</v>
      </c>
    </row>
    <row r="871" spans="1:19" x14ac:dyDescent="0.25">
      <c r="A871" s="45" t="s">
        <v>4157</v>
      </c>
      <c r="B871" s="30" t="s">
        <v>4158</v>
      </c>
      <c r="C871" s="64">
        <v>586</v>
      </c>
      <c r="D871" s="32" t="s">
        <v>4160</v>
      </c>
      <c r="E871" s="9" t="s">
        <v>4059</v>
      </c>
      <c r="F871" s="14">
        <v>41995</v>
      </c>
      <c r="G871" s="29">
        <f>93.15</f>
        <v>93.15</v>
      </c>
      <c r="H871" s="9"/>
      <c r="I871" s="144"/>
      <c r="J871" s="7"/>
      <c r="K871" s="69"/>
      <c r="L871" s="7"/>
      <c r="M871" s="7"/>
      <c r="N871" s="7"/>
      <c r="O871" s="7"/>
      <c r="P871" s="7"/>
      <c r="Q871" s="18">
        <f t="shared" si="42"/>
        <v>93.15</v>
      </c>
      <c r="R871" s="18">
        <f t="shared" si="43"/>
        <v>0</v>
      </c>
      <c r="S871" s="18">
        <f t="shared" si="44"/>
        <v>93.15</v>
      </c>
    </row>
    <row r="872" spans="1:19" x14ac:dyDescent="0.25">
      <c r="A872" s="45" t="s">
        <v>4157</v>
      </c>
      <c r="B872" s="30" t="s">
        <v>4158</v>
      </c>
      <c r="C872" s="64">
        <v>586</v>
      </c>
      <c r="D872" s="32" t="s">
        <v>4161</v>
      </c>
      <c r="E872" s="9" t="s">
        <v>4059</v>
      </c>
      <c r="F872" s="14">
        <v>41995</v>
      </c>
      <c r="G872" s="29">
        <f>130.67</f>
        <v>130.66999999999999</v>
      </c>
      <c r="H872" s="9"/>
      <c r="I872" s="144"/>
      <c r="J872" s="7"/>
      <c r="K872" s="69"/>
      <c r="L872" s="7"/>
      <c r="M872" s="7"/>
      <c r="N872" s="7"/>
      <c r="O872" s="7"/>
      <c r="P872" s="7"/>
      <c r="Q872" s="18">
        <f t="shared" si="42"/>
        <v>130.66999999999999</v>
      </c>
      <c r="R872" s="18">
        <f t="shared" si="43"/>
        <v>0</v>
      </c>
      <c r="S872" s="18">
        <f t="shared" si="44"/>
        <v>130.66999999999999</v>
      </c>
    </row>
    <row r="873" spans="1:19" x14ac:dyDescent="0.25">
      <c r="A873" s="45" t="s">
        <v>3457</v>
      </c>
      <c r="B873" s="30" t="s">
        <v>3458</v>
      </c>
      <c r="C873" s="64">
        <v>587</v>
      </c>
      <c r="D873" s="32" t="s">
        <v>4162</v>
      </c>
      <c r="E873" s="9" t="s">
        <v>4059</v>
      </c>
      <c r="F873" s="14">
        <v>41997</v>
      </c>
      <c r="G873" s="29"/>
      <c r="H873" s="9"/>
      <c r="I873" s="144"/>
      <c r="J873" s="7"/>
      <c r="K873" s="69"/>
      <c r="L873" s="7"/>
      <c r="M873" s="7"/>
      <c r="N873" s="7"/>
      <c r="O873" s="7"/>
      <c r="P873" s="7"/>
      <c r="Q873" s="18">
        <f t="shared" si="42"/>
        <v>0</v>
      </c>
      <c r="R873" s="18">
        <f t="shared" si="43"/>
        <v>0</v>
      </c>
      <c r="S873" s="18">
        <f t="shared" si="44"/>
        <v>0</v>
      </c>
    </row>
    <row r="874" spans="1:19" x14ac:dyDescent="0.25">
      <c r="A874" s="45" t="s">
        <v>3457</v>
      </c>
      <c r="B874" s="30" t="s">
        <v>3458</v>
      </c>
      <c r="C874" s="64">
        <v>587</v>
      </c>
      <c r="D874" s="32" t="s">
        <v>4163</v>
      </c>
      <c r="E874" s="9" t="s">
        <v>4059</v>
      </c>
      <c r="F874" s="14">
        <v>41997</v>
      </c>
      <c r="G874" s="29">
        <f>66.28</f>
        <v>66.28</v>
      </c>
      <c r="H874" s="9"/>
      <c r="I874" s="144"/>
      <c r="J874" s="7"/>
      <c r="K874" s="69"/>
      <c r="L874" s="7"/>
      <c r="M874" s="7"/>
      <c r="N874" s="7"/>
      <c r="O874" s="7"/>
      <c r="P874" s="7"/>
      <c r="Q874" s="18">
        <f t="shared" si="42"/>
        <v>66.28</v>
      </c>
      <c r="R874" s="18">
        <f t="shared" si="43"/>
        <v>0</v>
      </c>
      <c r="S874" s="18">
        <f t="shared" si="44"/>
        <v>66.28</v>
      </c>
    </row>
    <row r="875" spans="1:19" x14ac:dyDescent="0.25">
      <c r="A875" s="45" t="s">
        <v>4165</v>
      </c>
      <c r="B875" s="30" t="s">
        <v>4166</v>
      </c>
      <c r="C875" s="64">
        <v>588</v>
      </c>
      <c r="D875" s="32" t="s">
        <v>4164</v>
      </c>
      <c r="E875" s="9" t="s">
        <v>4059</v>
      </c>
      <c r="F875" s="14">
        <v>41999</v>
      </c>
      <c r="G875" s="29">
        <f>570.47+240+240</f>
        <v>1050.47</v>
      </c>
      <c r="H875" s="9"/>
      <c r="I875" s="144"/>
      <c r="J875" s="7"/>
      <c r="K875" s="69"/>
      <c r="L875" s="7"/>
      <c r="M875" s="7"/>
      <c r="N875" s="7"/>
      <c r="O875" s="7"/>
      <c r="P875" s="7"/>
      <c r="Q875" s="18">
        <f t="shared" si="42"/>
        <v>1050.47</v>
      </c>
      <c r="R875" s="18">
        <f t="shared" si="43"/>
        <v>0</v>
      </c>
      <c r="S875" s="18">
        <f t="shared" si="44"/>
        <v>1050.47</v>
      </c>
    </row>
    <row r="876" spans="1:19" x14ac:dyDescent="0.25">
      <c r="A876" s="45" t="s">
        <v>4168</v>
      </c>
      <c r="B876" s="30" t="s">
        <v>4169</v>
      </c>
      <c r="C876" s="64">
        <v>589</v>
      </c>
      <c r="D876" s="32" t="s">
        <v>4167</v>
      </c>
      <c r="E876" s="24" t="s">
        <v>73</v>
      </c>
      <c r="F876" s="14">
        <v>41999</v>
      </c>
      <c r="G876" s="29">
        <f>710.45+18186.38</f>
        <v>18896.830000000002</v>
      </c>
      <c r="H876" s="9"/>
      <c r="I876" s="139">
        <f>1750</f>
        <v>1750</v>
      </c>
      <c r="J876" s="7"/>
      <c r="K876" s="8">
        <v>7600</v>
      </c>
      <c r="L876" s="7"/>
      <c r="M876" s="7"/>
      <c r="N876" s="7"/>
      <c r="O876" s="7"/>
      <c r="P876" s="7"/>
      <c r="Q876" s="18">
        <f t="shared" si="42"/>
        <v>28246.83</v>
      </c>
      <c r="R876" s="18">
        <f t="shared" si="43"/>
        <v>0</v>
      </c>
      <c r="S876" s="18">
        <f t="shared" si="44"/>
        <v>28246.83</v>
      </c>
    </row>
    <row r="877" spans="1:19" x14ac:dyDescent="0.25">
      <c r="A877" s="45" t="s">
        <v>4171</v>
      </c>
      <c r="B877" s="30" t="s">
        <v>4172</v>
      </c>
      <c r="C877" s="64">
        <v>590</v>
      </c>
      <c r="D877" s="32" t="s">
        <v>4170</v>
      </c>
      <c r="E877" s="9" t="s">
        <v>4059</v>
      </c>
      <c r="F877" s="14">
        <v>41999</v>
      </c>
      <c r="G877" s="29">
        <f>203.1</f>
        <v>203.1</v>
      </c>
      <c r="H877" s="9"/>
      <c r="I877" s="144"/>
      <c r="J877" s="7"/>
      <c r="K877" s="69"/>
      <c r="L877" s="7"/>
      <c r="M877" s="7"/>
      <c r="N877" s="7"/>
      <c r="O877" s="7"/>
      <c r="P877" s="7"/>
      <c r="Q877" s="18">
        <f t="shared" si="42"/>
        <v>203.1</v>
      </c>
      <c r="R877" s="18">
        <f t="shared" si="43"/>
        <v>0</v>
      </c>
      <c r="S877" s="18">
        <f t="shared" si="44"/>
        <v>203.1</v>
      </c>
    </row>
    <row r="878" spans="1:19" x14ac:dyDescent="0.25">
      <c r="A878" s="45" t="s">
        <v>4174</v>
      </c>
      <c r="B878" s="30" t="s">
        <v>4175</v>
      </c>
      <c r="C878" s="64">
        <v>591</v>
      </c>
      <c r="D878" s="32" t="s">
        <v>4173</v>
      </c>
      <c r="E878" s="9" t="s">
        <v>4059</v>
      </c>
      <c r="F878" s="14">
        <v>42003</v>
      </c>
      <c r="G878" s="29">
        <f>188.4</f>
        <v>188.4</v>
      </c>
      <c r="H878" s="9"/>
      <c r="I878" s="144"/>
      <c r="J878" s="7"/>
      <c r="K878" s="69"/>
      <c r="L878" s="7"/>
      <c r="M878" s="7"/>
      <c r="N878" s="7"/>
      <c r="O878" s="7"/>
      <c r="P878" s="7"/>
      <c r="Q878" s="18">
        <f t="shared" si="42"/>
        <v>188.4</v>
      </c>
      <c r="R878" s="18">
        <f t="shared" si="43"/>
        <v>0</v>
      </c>
      <c r="S878" s="18">
        <f t="shared" si="44"/>
        <v>188.4</v>
      </c>
    </row>
    <row r="879" spans="1:19" x14ac:dyDescent="0.25">
      <c r="A879" s="45" t="s">
        <v>4177</v>
      </c>
      <c r="B879" s="30" t="s">
        <v>4178</v>
      </c>
      <c r="C879" s="64">
        <v>592</v>
      </c>
      <c r="D879" s="32" t="s">
        <v>4176</v>
      </c>
      <c r="E879" s="9" t="s">
        <v>4059</v>
      </c>
      <c r="F879" s="14">
        <v>42004</v>
      </c>
      <c r="G879" s="29">
        <f>129.27+134.57+99.82+558</f>
        <v>921.66000000000008</v>
      </c>
      <c r="H879" s="9"/>
      <c r="I879" s="144"/>
      <c r="J879" s="7"/>
      <c r="K879" s="69"/>
      <c r="L879" s="7"/>
      <c r="M879" s="7"/>
      <c r="N879" s="7"/>
      <c r="O879" s="7"/>
      <c r="P879" s="7"/>
      <c r="Q879" s="18">
        <f t="shared" si="42"/>
        <v>921.66000000000008</v>
      </c>
      <c r="R879" s="18">
        <f t="shared" si="43"/>
        <v>0</v>
      </c>
      <c r="S879" s="18">
        <f t="shared" si="44"/>
        <v>921.66000000000008</v>
      </c>
    </row>
    <row r="880" spans="1:19" x14ac:dyDescent="0.25">
      <c r="A880" s="45" t="s">
        <v>4177</v>
      </c>
      <c r="B880" s="30" t="s">
        <v>4178</v>
      </c>
      <c r="C880" s="64">
        <v>592</v>
      </c>
      <c r="D880" s="32" t="s">
        <v>4187</v>
      </c>
      <c r="E880" s="9" t="s">
        <v>4059</v>
      </c>
      <c r="F880" s="14">
        <v>42004</v>
      </c>
      <c r="G880" s="29">
        <f>163.74</f>
        <v>163.74</v>
      </c>
      <c r="H880" s="9"/>
      <c r="I880" s="144"/>
      <c r="J880" s="7"/>
      <c r="K880" s="69"/>
      <c r="L880" s="7"/>
      <c r="M880" s="7"/>
      <c r="N880" s="7"/>
      <c r="O880" s="7"/>
      <c r="P880" s="7"/>
      <c r="Q880" s="18">
        <f t="shared" si="42"/>
        <v>163.74</v>
      </c>
      <c r="R880" s="18">
        <f t="shared" si="43"/>
        <v>0</v>
      </c>
      <c r="S880" s="18">
        <f t="shared" si="44"/>
        <v>163.74</v>
      </c>
    </row>
    <row r="881" spans="1:19" x14ac:dyDescent="0.25">
      <c r="A881" s="28" t="s">
        <v>4061</v>
      </c>
      <c r="B881" s="30" t="s">
        <v>4062</v>
      </c>
      <c r="C881" s="65">
        <v>593</v>
      </c>
      <c r="D881" s="32" t="s">
        <v>4063</v>
      </c>
      <c r="E881" s="24" t="s">
        <v>73</v>
      </c>
      <c r="F881" s="31">
        <v>41999</v>
      </c>
      <c r="G881" s="67"/>
      <c r="H881" s="7"/>
      <c r="I881" s="141"/>
      <c r="J881" s="7"/>
      <c r="K881" s="69"/>
      <c r="L881" s="7"/>
      <c r="M881" s="62">
        <v>3800</v>
      </c>
      <c r="N881" s="66"/>
      <c r="O881" s="62">
        <v>15200</v>
      </c>
      <c r="P881" s="7"/>
      <c r="Q881" s="18">
        <f t="shared" si="42"/>
        <v>19000</v>
      </c>
      <c r="R881" s="18">
        <f t="shared" si="43"/>
        <v>0</v>
      </c>
      <c r="S881" s="18">
        <f t="shared" si="44"/>
        <v>19000</v>
      </c>
    </row>
    <row r="882" spans="1:19" x14ac:dyDescent="0.25">
      <c r="G882" s="27">
        <f>SUM(G8:G879)</f>
        <v>651356.63</v>
      </c>
      <c r="H882" s="27">
        <f t="shared" ref="H882:S882" si="45">SUM(H8:H879)</f>
        <v>0</v>
      </c>
      <c r="I882" s="145">
        <f t="shared" si="45"/>
        <v>198120.99</v>
      </c>
      <c r="J882" s="27">
        <f t="shared" si="45"/>
        <v>0</v>
      </c>
      <c r="K882" s="11">
        <f t="shared" si="45"/>
        <v>12768</v>
      </c>
      <c r="L882" s="27">
        <f t="shared" si="45"/>
        <v>0</v>
      </c>
      <c r="M882" s="27">
        <f t="shared" si="45"/>
        <v>34050</v>
      </c>
      <c r="N882" s="27">
        <f t="shared" si="45"/>
        <v>3800</v>
      </c>
      <c r="O882" s="27">
        <f t="shared" si="45"/>
        <v>197600</v>
      </c>
      <c r="P882" s="27">
        <f t="shared" si="45"/>
        <v>0</v>
      </c>
      <c r="Q882" s="27">
        <f t="shared" si="45"/>
        <v>1093618.5200000007</v>
      </c>
      <c r="R882" s="27">
        <f t="shared" si="45"/>
        <v>3800</v>
      </c>
      <c r="S882" s="27">
        <f t="shared" si="45"/>
        <v>1096513.5000000007</v>
      </c>
    </row>
  </sheetData>
  <mergeCells count="26">
    <mergeCell ref="A4:A7"/>
    <mergeCell ref="B4:B7"/>
    <mergeCell ref="E4:E7"/>
    <mergeCell ref="F4:F7"/>
    <mergeCell ref="G4:H4"/>
    <mergeCell ref="I4:J4"/>
    <mergeCell ref="G5:G7"/>
    <mergeCell ref="H5:H7"/>
    <mergeCell ref="I5:I7"/>
    <mergeCell ref="J5:J7"/>
    <mergeCell ref="O5:O7"/>
    <mergeCell ref="P5:P7"/>
    <mergeCell ref="A1:S1"/>
    <mergeCell ref="A3:S3"/>
    <mergeCell ref="K4:L4"/>
    <mergeCell ref="M4:N4"/>
    <mergeCell ref="O4:P4"/>
    <mergeCell ref="Q4:Q7"/>
    <mergeCell ref="R4:R7"/>
    <mergeCell ref="S4:S7"/>
    <mergeCell ref="K5:K7"/>
    <mergeCell ref="L5:L7"/>
    <mergeCell ref="M5:M7"/>
    <mergeCell ref="N5:N7"/>
    <mergeCell ref="C4:C7"/>
    <mergeCell ref="D4:D7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5"/>
  <sheetViews>
    <sheetView workbookViewId="0">
      <pane xSplit="4" ySplit="9" topLeftCell="E988" activePane="bottomRight" state="frozen"/>
      <selection activeCell="D3" sqref="D3"/>
      <selection pane="topRight" activeCell="D3" sqref="D3"/>
      <selection pane="bottomLeft" activeCell="D3" sqref="D3"/>
      <selection pane="bottomRight" activeCell="A993" sqref="A993"/>
    </sheetView>
  </sheetViews>
  <sheetFormatPr baseColWidth="10" defaultRowHeight="15" x14ac:dyDescent="0.25"/>
  <cols>
    <col min="3" max="3" width="9.85546875" customWidth="1"/>
    <col min="4" max="4" width="26.42578125" customWidth="1"/>
    <col min="5" max="5" width="15.85546875" customWidth="1"/>
    <col min="6" max="6" width="14.7109375" style="15" customWidth="1"/>
    <col min="7" max="7" width="10.140625" customWidth="1"/>
    <col min="8" max="8" width="11.42578125" customWidth="1"/>
    <col min="9" max="9" width="10.140625" customWidth="1"/>
    <col min="10" max="10" width="11.5703125" customWidth="1"/>
    <col min="11" max="11" width="10.140625" customWidth="1"/>
    <col min="12" max="12" width="11.5703125" customWidth="1"/>
    <col min="13" max="13" width="10.140625" customWidth="1"/>
    <col min="14" max="14" width="11.5703125" customWidth="1"/>
    <col min="15" max="15" width="11" customWidth="1"/>
    <col min="16" max="16" width="11.5703125" customWidth="1"/>
    <col min="17" max="17" width="12.5703125" style="2" customWidth="1"/>
    <col min="18" max="18" width="11.5703125" style="2" customWidth="1"/>
    <col min="19" max="19" width="16.85546875" style="2" customWidth="1"/>
  </cols>
  <sheetData>
    <row r="1" spans="1:19" s="19" customFormat="1" ht="63.75" customHeight="1" x14ac:dyDescent="0.4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</row>
    <row r="2" spans="1:19" ht="22.5" x14ac:dyDescent="0.3">
      <c r="A2" s="260" t="s">
        <v>940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</row>
    <row r="3" spans="1:19" ht="15.75" thickBot="1" x14ac:dyDescent="0.3">
      <c r="A3" s="3"/>
      <c r="B3" s="3"/>
      <c r="C3" s="3"/>
      <c r="D3" s="3"/>
      <c r="E3" s="3"/>
      <c r="F3" s="1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</row>
    <row r="4" spans="1:19" s="77" customFormat="1" ht="16.5" thickBot="1" x14ac:dyDescent="0.25">
      <c r="A4" s="198" t="s">
        <v>9393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200"/>
    </row>
    <row r="5" spans="1:19" ht="15.75" thickBot="1" x14ac:dyDescent="0.3">
      <c r="A5" s="3"/>
      <c r="B5" s="3"/>
      <c r="C5" s="3"/>
      <c r="D5" s="3"/>
      <c r="E5" s="3"/>
      <c r="F5" s="1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1"/>
    </row>
    <row r="6" spans="1:19" ht="15" customHeight="1" x14ac:dyDescent="0.25">
      <c r="A6" s="261" t="s">
        <v>0</v>
      </c>
      <c r="B6" s="264" t="s">
        <v>1</v>
      </c>
      <c r="C6" s="267" t="s">
        <v>2</v>
      </c>
      <c r="D6" s="267" t="s">
        <v>3</v>
      </c>
      <c r="E6" s="267" t="s">
        <v>4</v>
      </c>
      <c r="F6" s="270" t="s">
        <v>5</v>
      </c>
      <c r="G6" s="264" t="s">
        <v>6</v>
      </c>
      <c r="H6" s="264"/>
      <c r="I6" s="264" t="s">
        <v>7</v>
      </c>
      <c r="J6" s="264"/>
      <c r="K6" s="264" t="s">
        <v>8</v>
      </c>
      <c r="L6" s="264"/>
      <c r="M6" s="264" t="s">
        <v>9</v>
      </c>
      <c r="N6" s="264"/>
      <c r="O6" s="279" t="s">
        <v>10</v>
      </c>
      <c r="P6" s="279"/>
      <c r="Q6" s="267" t="s">
        <v>11</v>
      </c>
      <c r="R6" s="267" t="s">
        <v>12</v>
      </c>
      <c r="S6" s="273" t="s">
        <v>13</v>
      </c>
    </row>
    <row r="7" spans="1:19" ht="15" customHeight="1" x14ac:dyDescent="0.25">
      <c r="A7" s="262"/>
      <c r="B7" s="265"/>
      <c r="C7" s="268"/>
      <c r="D7" s="268"/>
      <c r="E7" s="268"/>
      <c r="F7" s="271"/>
      <c r="G7" s="276" t="s">
        <v>14</v>
      </c>
      <c r="H7" s="268" t="s">
        <v>15</v>
      </c>
      <c r="I7" s="268" t="s">
        <v>14</v>
      </c>
      <c r="J7" s="268" t="s">
        <v>15</v>
      </c>
      <c r="K7" s="268" t="s">
        <v>14</v>
      </c>
      <c r="L7" s="268" t="s">
        <v>15</v>
      </c>
      <c r="M7" s="268" t="s">
        <v>14</v>
      </c>
      <c r="N7" s="268" t="s">
        <v>15</v>
      </c>
      <c r="O7" s="268" t="s">
        <v>14</v>
      </c>
      <c r="P7" s="268" t="s">
        <v>15</v>
      </c>
      <c r="Q7" s="268"/>
      <c r="R7" s="268"/>
      <c r="S7" s="274"/>
    </row>
    <row r="8" spans="1:19" x14ac:dyDescent="0.25">
      <c r="A8" s="262"/>
      <c r="B8" s="265"/>
      <c r="C8" s="268"/>
      <c r="D8" s="268"/>
      <c r="E8" s="268"/>
      <c r="F8" s="271"/>
      <c r="G8" s="277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74"/>
    </row>
    <row r="9" spans="1:19" ht="15.75" thickBot="1" x14ac:dyDescent="0.3">
      <c r="A9" s="263"/>
      <c r="B9" s="266"/>
      <c r="C9" s="269"/>
      <c r="D9" s="269"/>
      <c r="E9" s="269"/>
      <c r="F9" s="272"/>
      <c r="G9" s="278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75"/>
    </row>
    <row r="10" spans="1:19" x14ac:dyDescent="0.25">
      <c r="A10" s="110" t="s">
        <v>941</v>
      </c>
      <c r="B10" s="110" t="s">
        <v>942</v>
      </c>
      <c r="C10" s="111">
        <v>1</v>
      </c>
      <c r="D10" s="112" t="s">
        <v>943</v>
      </c>
      <c r="E10" s="112" t="s">
        <v>19</v>
      </c>
      <c r="F10" s="92">
        <v>41303</v>
      </c>
      <c r="G10" s="113">
        <f>81.2</f>
        <v>81.2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5">
        <f>+G10+I10+K10+M10+O10</f>
        <v>81.2</v>
      </c>
      <c r="R10" s="114">
        <f>+H10+J10+L10+N10+P10</f>
        <v>0</v>
      </c>
      <c r="S10" s="115">
        <f>+Q10+R10</f>
        <v>81.2</v>
      </c>
    </row>
    <row r="11" spans="1:19" x14ac:dyDescent="0.25">
      <c r="A11" s="116" t="s">
        <v>941</v>
      </c>
      <c r="B11" s="116" t="s">
        <v>942</v>
      </c>
      <c r="C11" s="117">
        <v>1</v>
      </c>
      <c r="D11" s="91" t="s">
        <v>944</v>
      </c>
      <c r="E11" s="91" t="s">
        <v>19</v>
      </c>
      <c r="F11" s="92">
        <v>41303</v>
      </c>
      <c r="G11" s="118">
        <v>105</v>
      </c>
      <c r="H11" s="72"/>
      <c r="I11" s="72"/>
      <c r="J11" s="72"/>
      <c r="K11" s="72"/>
      <c r="L11" s="72"/>
      <c r="M11" s="72"/>
      <c r="N11" s="72"/>
      <c r="O11" s="72"/>
      <c r="P11" s="72"/>
      <c r="Q11" s="63">
        <f t="shared" ref="Q11:R74" si="0">+G11+I11+K11+M11+O11</f>
        <v>105</v>
      </c>
      <c r="R11" s="72">
        <f t="shared" si="0"/>
        <v>0</v>
      </c>
      <c r="S11" s="63">
        <f t="shared" ref="S11:S74" si="1">+Q11+R11</f>
        <v>105</v>
      </c>
    </row>
    <row r="12" spans="1:19" x14ac:dyDescent="0.25">
      <c r="A12" s="116" t="s">
        <v>941</v>
      </c>
      <c r="B12" s="116" t="s">
        <v>942</v>
      </c>
      <c r="C12" s="117">
        <v>1</v>
      </c>
      <c r="D12" s="91" t="s">
        <v>945</v>
      </c>
      <c r="E12" s="91" t="s">
        <v>19</v>
      </c>
      <c r="F12" s="92">
        <v>41303</v>
      </c>
      <c r="G12" s="118">
        <v>84</v>
      </c>
      <c r="H12" s="72"/>
      <c r="I12" s="72"/>
      <c r="J12" s="72"/>
      <c r="K12" s="72"/>
      <c r="L12" s="72"/>
      <c r="M12" s="72"/>
      <c r="N12" s="72"/>
      <c r="O12" s="72"/>
      <c r="P12" s="72"/>
      <c r="Q12" s="63">
        <f t="shared" si="0"/>
        <v>84</v>
      </c>
      <c r="R12" s="72">
        <f t="shared" si="0"/>
        <v>0</v>
      </c>
      <c r="S12" s="63">
        <f t="shared" si="1"/>
        <v>84</v>
      </c>
    </row>
    <row r="13" spans="1:19" x14ac:dyDescent="0.25">
      <c r="A13" s="116" t="s">
        <v>946</v>
      </c>
      <c r="B13" s="116" t="s">
        <v>947</v>
      </c>
      <c r="C13" s="117">
        <v>2</v>
      </c>
      <c r="D13" s="91" t="s">
        <v>948</v>
      </c>
      <c r="E13" s="91" t="s">
        <v>19</v>
      </c>
      <c r="F13" s="92">
        <v>41304</v>
      </c>
      <c r="G13" s="118">
        <f>96.94</f>
        <v>96.94</v>
      </c>
      <c r="H13" s="72"/>
      <c r="I13" s="72"/>
      <c r="J13" s="72"/>
      <c r="K13" s="72"/>
      <c r="L13" s="72"/>
      <c r="M13" s="72"/>
      <c r="N13" s="72"/>
      <c r="O13" s="72"/>
      <c r="P13" s="72"/>
      <c r="Q13" s="63">
        <f t="shared" si="0"/>
        <v>96.94</v>
      </c>
      <c r="R13" s="72">
        <f t="shared" si="0"/>
        <v>0</v>
      </c>
      <c r="S13" s="63">
        <f t="shared" si="1"/>
        <v>96.94</v>
      </c>
    </row>
    <row r="14" spans="1:19" x14ac:dyDescent="0.25">
      <c r="A14" s="116" t="s">
        <v>949</v>
      </c>
      <c r="B14" s="116" t="s">
        <v>950</v>
      </c>
      <c r="C14" s="117">
        <v>3</v>
      </c>
      <c r="D14" s="91" t="s">
        <v>951</v>
      </c>
      <c r="E14" s="91" t="s">
        <v>19</v>
      </c>
      <c r="F14" s="119">
        <v>41312</v>
      </c>
      <c r="G14" s="118">
        <f>1308.16+75.41+116+179.6+75.4+76.25+47.2+75.41</f>
        <v>1953.4300000000003</v>
      </c>
      <c r="H14" s="72"/>
      <c r="I14" s="120">
        <f>1075+775+750</f>
        <v>2600</v>
      </c>
      <c r="J14" s="72"/>
      <c r="K14" s="72"/>
      <c r="L14" s="72"/>
      <c r="M14" s="72"/>
      <c r="N14" s="72"/>
      <c r="O14" s="72"/>
      <c r="P14" s="72"/>
      <c r="Q14" s="63">
        <f t="shared" si="0"/>
        <v>4553.43</v>
      </c>
      <c r="R14" s="72">
        <f t="shared" si="0"/>
        <v>0</v>
      </c>
      <c r="S14" s="63">
        <f t="shared" si="1"/>
        <v>4553.43</v>
      </c>
    </row>
    <row r="15" spans="1:19" x14ac:dyDescent="0.25">
      <c r="A15" s="116" t="s">
        <v>949</v>
      </c>
      <c r="B15" s="116" t="s">
        <v>950</v>
      </c>
      <c r="C15" s="117">
        <v>3</v>
      </c>
      <c r="D15" s="91" t="s">
        <v>952</v>
      </c>
      <c r="E15" s="91" t="s">
        <v>19</v>
      </c>
      <c r="F15" s="119">
        <v>41312</v>
      </c>
      <c r="G15" s="118">
        <f>147.85</f>
        <v>147.85</v>
      </c>
      <c r="H15" s="72"/>
      <c r="I15" s="72"/>
      <c r="J15" s="72"/>
      <c r="K15" s="72"/>
      <c r="L15" s="72"/>
      <c r="M15" s="72"/>
      <c r="N15" s="72"/>
      <c r="O15" s="72"/>
      <c r="P15" s="72"/>
      <c r="Q15" s="63">
        <f t="shared" si="0"/>
        <v>147.85</v>
      </c>
      <c r="R15" s="72">
        <f t="shared" si="0"/>
        <v>0</v>
      </c>
      <c r="S15" s="63">
        <f t="shared" si="1"/>
        <v>147.85</v>
      </c>
    </row>
    <row r="16" spans="1:19" x14ac:dyDescent="0.25">
      <c r="A16" s="116" t="s">
        <v>949</v>
      </c>
      <c r="B16" s="116" t="s">
        <v>950</v>
      </c>
      <c r="C16" s="117">
        <v>3</v>
      </c>
      <c r="D16" s="91" t="s">
        <v>953</v>
      </c>
      <c r="E16" s="91" t="s">
        <v>19</v>
      </c>
      <c r="F16" s="119">
        <v>41312</v>
      </c>
      <c r="G16" s="118">
        <f>116.82</f>
        <v>116.82</v>
      </c>
      <c r="H16" s="72"/>
      <c r="I16" s="72"/>
      <c r="J16" s="72"/>
      <c r="K16" s="72"/>
      <c r="L16" s="72"/>
      <c r="M16" s="72"/>
      <c r="N16" s="72"/>
      <c r="O16" s="72"/>
      <c r="P16" s="72"/>
      <c r="Q16" s="63">
        <f t="shared" si="0"/>
        <v>116.82</v>
      </c>
      <c r="R16" s="72">
        <f t="shared" si="0"/>
        <v>0</v>
      </c>
      <c r="S16" s="63">
        <f t="shared" si="1"/>
        <v>116.82</v>
      </c>
    </row>
    <row r="17" spans="1:19" x14ac:dyDescent="0.25">
      <c r="A17" s="116" t="s">
        <v>949</v>
      </c>
      <c r="B17" s="116" t="s">
        <v>950</v>
      </c>
      <c r="C17" s="117">
        <v>3</v>
      </c>
      <c r="D17" s="91" t="s">
        <v>954</v>
      </c>
      <c r="E17" s="91" t="s">
        <v>19</v>
      </c>
      <c r="F17" s="119">
        <v>41312</v>
      </c>
      <c r="G17" s="118">
        <f>733+650+138.96+47.2+47.2+83.28</f>
        <v>1699.64</v>
      </c>
      <c r="H17" s="72"/>
      <c r="I17" s="72"/>
      <c r="J17" s="72"/>
      <c r="K17" s="72"/>
      <c r="L17" s="72"/>
      <c r="M17" s="72"/>
      <c r="N17" s="72"/>
      <c r="O17" s="72"/>
      <c r="P17" s="72"/>
      <c r="Q17" s="63">
        <f t="shared" si="0"/>
        <v>1699.64</v>
      </c>
      <c r="R17" s="72">
        <f t="shared" si="0"/>
        <v>0</v>
      </c>
      <c r="S17" s="63">
        <f t="shared" si="1"/>
        <v>1699.64</v>
      </c>
    </row>
    <row r="18" spans="1:19" x14ac:dyDescent="0.25">
      <c r="A18" s="116" t="s">
        <v>949</v>
      </c>
      <c r="B18" s="116" t="s">
        <v>950</v>
      </c>
      <c r="C18" s="117">
        <v>3</v>
      </c>
      <c r="D18" s="91" t="s">
        <v>955</v>
      </c>
      <c r="E18" s="91" t="s">
        <v>19</v>
      </c>
      <c r="F18" s="119">
        <v>41312</v>
      </c>
      <c r="G18" s="118">
        <f>47.2</f>
        <v>47.2</v>
      </c>
      <c r="H18" s="72"/>
      <c r="I18" s="72"/>
      <c r="J18" s="72"/>
      <c r="K18" s="72"/>
      <c r="L18" s="72"/>
      <c r="M18" s="72"/>
      <c r="N18" s="72"/>
      <c r="O18" s="72"/>
      <c r="P18" s="72"/>
      <c r="Q18" s="63">
        <f t="shared" si="0"/>
        <v>47.2</v>
      </c>
      <c r="R18" s="72">
        <f t="shared" si="0"/>
        <v>0</v>
      </c>
      <c r="S18" s="63">
        <f t="shared" si="1"/>
        <v>47.2</v>
      </c>
    </row>
    <row r="19" spans="1:19" x14ac:dyDescent="0.25">
      <c r="A19" s="116" t="s">
        <v>949</v>
      </c>
      <c r="B19" s="116" t="s">
        <v>950</v>
      </c>
      <c r="C19" s="117">
        <v>3</v>
      </c>
      <c r="D19" s="91" t="s">
        <v>956</v>
      </c>
      <c r="E19" s="91" t="s">
        <v>19</v>
      </c>
      <c r="F19" s="119">
        <v>41312</v>
      </c>
      <c r="G19" s="118">
        <f>30.5+80.24+29.3+133.38+189.98</f>
        <v>463.4</v>
      </c>
      <c r="H19" s="72"/>
      <c r="I19" s="72"/>
      <c r="J19" s="72"/>
      <c r="K19" s="72"/>
      <c r="L19" s="72"/>
      <c r="M19" s="72"/>
      <c r="N19" s="72"/>
      <c r="O19" s="72"/>
      <c r="P19" s="72"/>
      <c r="Q19" s="63">
        <f t="shared" si="0"/>
        <v>463.4</v>
      </c>
      <c r="R19" s="72">
        <f t="shared" si="0"/>
        <v>0</v>
      </c>
      <c r="S19" s="63">
        <f t="shared" si="1"/>
        <v>463.4</v>
      </c>
    </row>
    <row r="20" spans="1:19" x14ac:dyDescent="0.25">
      <c r="A20" s="116" t="s">
        <v>949</v>
      </c>
      <c r="B20" s="116" t="s">
        <v>950</v>
      </c>
      <c r="C20" s="117">
        <v>3</v>
      </c>
      <c r="D20" s="91" t="s">
        <v>957</v>
      </c>
      <c r="E20" s="91" t="s">
        <v>19</v>
      </c>
      <c r="F20" s="119">
        <v>41312</v>
      </c>
      <c r="G20" s="118">
        <f>238+139.95+21.4+41.75+47.2+110.92+200</f>
        <v>799.21999999999991</v>
      </c>
      <c r="H20" s="72"/>
      <c r="I20" s="120">
        <v>175</v>
      </c>
      <c r="J20" s="72"/>
      <c r="K20" s="72"/>
      <c r="L20" s="72"/>
      <c r="M20" s="72"/>
      <c r="N20" s="72"/>
      <c r="O20" s="72"/>
      <c r="P20" s="72"/>
      <c r="Q20" s="63">
        <f t="shared" si="0"/>
        <v>974.21999999999991</v>
      </c>
      <c r="R20" s="72">
        <f t="shared" si="0"/>
        <v>0</v>
      </c>
      <c r="S20" s="63">
        <f t="shared" si="1"/>
        <v>974.21999999999991</v>
      </c>
    </row>
    <row r="21" spans="1:19" x14ac:dyDescent="0.25">
      <c r="A21" s="116" t="s">
        <v>949</v>
      </c>
      <c r="B21" s="116" t="s">
        <v>950</v>
      </c>
      <c r="C21" s="117">
        <v>3</v>
      </c>
      <c r="D21" s="91" t="s">
        <v>958</v>
      </c>
      <c r="E21" s="91" t="s">
        <v>19</v>
      </c>
      <c r="F21" s="119">
        <v>41312</v>
      </c>
      <c r="G21" s="118">
        <f>118</f>
        <v>118</v>
      </c>
      <c r="H21" s="72"/>
      <c r="I21" s="73"/>
      <c r="J21" s="72"/>
      <c r="K21" s="72"/>
      <c r="L21" s="72"/>
      <c r="M21" s="72"/>
      <c r="N21" s="72"/>
      <c r="O21" s="72"/>
      <c r="P21" s="72"/>
      <c r="Q21" s="63">
        <f t="shared" si="0"/>
        <v>118</v>
      </c>
      <c r="R21" s="72">
        <f t="shared" si="0"/>
        <v>0</v>
      </c>
      <c r="S21" s="63">
        <f t="shared" si="1"/>
        <v>118</v>
      </c>
    </row>
    <row r="22" spans="1:19" x14ac:dyDescent="0.25">
      <c r="A22" s="116" t="s">
        <v>959</v>
      </c>
      <c r="B22" s="116" t="s">
        <v>960</v>
      </c>
      <c r="C22" s="117">
        <v>4</v>
      </c>
      <c r="D22" s="91" t="s">
        <v>961</v>
      </c>
      <c r="E22" s="91" t="s">
        <v>19</v>
      </c>
      <c r="F22" s="92">
        <v>41380</v>
      </c>
      <c r="G22" s="118">
        <f>61+238+3.2+70+192.8</f>
        <v>565</v>
      </c>
      <c r="H22" s="72"/>
      <c r="I22" s="73"/>
      <c r="J22" s="72"/>
      <c r="K22" s="72"/>
      <c r="L22" s="72"/>
      <c r="M22" s="72"/>
      <c r="N22" s="72"/>
      <c r="O22" s="72"/>
      <c r="P22" s="72"/>
      <c r="Q22" s="63">
        <f t="shared" si="0"/>
        <v>565</v>
      </c>
      <c r="R22" s="72">
        <f t="shared" si="0"/>
        <v>0</v>
      </c>
      <c r="S22" s="63">
        <f t="shared" si="1"/>
        <v>565</v>
      </c>
    </row>
    <row r="23" spans="1:19" x14ac:dyDescent="0.25">
      <c r="A23" s="116" t="s">
        <v>962</v>
      </c>
      <c r="B23" s="116" t="s">
        <v>963</v>
      </c>
      <c r="C23" s="117">
        <v>5</v>
      </c>
      <c r="D23" s="91" t="s">
        <v>964</v>
      </c>
      <c r="E23" s="91" t="s">
        <v>19</v>
      </c>
      <c r="F23" s="92">
        <v>41339</v>
      </c>
      <c r="G23" s="118">
        <f>28.94+260+238+96.17+47.2+49.68+32.78+4.4+94.4+2027.24+94.4+20.91+70.8+636.8+47.2+17.68+554.6</f>
        <v>4321.2</v>
      </c>
      <c r="H23" s="72"/>
      <c r="I23" s="120">
        <f>1500+750</f>
        <v>2250</v>
      </c>
      <c r="J23" s="72"/>
      <c r="K23" s="72"/>
      <c r="L23" s="72"/>
      <c r="M23" s="72"/>
      <c r="N23" s="72"/>
      <c r="O23" s="72"/>
      <c r="P23" s="72"/>
      <c r="Q23" s="63">
        <f t="shared" si="0"/>
        <v>6571.2</v>
      </c>
      <c r="R23" s="72">
        <f t="shared" si="0"/>
        <v>0</v>
      </c>
      <c r="S23" s="63">
        <f t="shared" si="1"/>
        <v>6571.2</v>
      </c>
    </row>
    <row r="24" spans="1:19" x14ac:dyDescent="0.25">
      <c r="A24" s="116" t="s">
        <v>965</v>
      </c>
      <c r="B24" s="116" t="s">
        <v>966</v>
      </c>
      <c r="C24" s="117">
        <v>6</v>
      </c>
      <c r="D24" s="91" t="s">
        <v>967</v>
      </c>
      <c r="E24" s="91" t="s">
        <v>19</v>
      </c>
      <c r="F24" s="119">
        <v>41396</v>
      </c>
      <c r="G24" s="118">
        <f>647.96+335+335+97.16+19.76+335+335</f>
        <v>2104.88</v>
      </c>
      <c r="H24" s="72"/>
      <c r="I24" s="120">
        <f>600</f>
        <v>600</v>
      </c>
      <c r="J24" s="72"/>
      <c r="K24" s="72"/>
      <c r="L24" s="72"/>
      <c r="M24" s="72"/>
      <c r="N24" s="72"/>
      <c r="O24" s="72"/>
      <c r="P24" s="72"/>
      <c r="Q24" s="63">
        <f t="shared" si="0"/>
        <v>2704.88</v>
      </c>
      <c r="R24" s="72">
        <f t="shared" si="0"/>
        <v>0</v>
      </c>
      <c r="S24" s="63">
        <f t="shared" si="1"/>
        <v>2704.88</v>
      </c>
    </row>
    <row r="25" spans="1:19" x14ac:dyDescent="0.25">
      <c r="A25" s="116" t="s">
        <v>968</v>
      </c>
      <c r="B25" s="116" t="s">
        <v>969</v>
      </c>
      <c r="C25" s="117">
        <v>7</v>
      </c>
      <c r="D25" s="91" t="s">
        <v>970</v>
      </c>
      <c r="E25" s="91" t="s">
        <v>19</v>
      </c>
      <c r="F25" s="92">
        <v>41397</v>
      </c>
      <c r="G25" s="118">
        <v>153.46</v>
      </c>
      <c r="H25" s="72"/>
      <c r="I25" s="72"/>
      <c r="J25" s="72"/>
      <c r="K25" s="72"/>
      <c r="L25" s="72"/>
      <c r="M25" s="72"/>
      <c r="N25" s="72"/>
      <c r="O25" s="72"/>
      <c r="P25" s="72"/>
      <c r="Q25" s="63">
        <f t="shared" si="0"/>
        <v>153.46</v>
      </c>
      <c r="R25" s="72">
        <f t="shared" si="0"/>
        <v>0</v>
      </c>
      <c r="S25" s="63">
        <f t="shared" si="1"/>
        <v>153.46</v>
      </c>
    </row>
    <row r="26" spans="1:19" x14ac:dyDescent="0.25">
      <c r="A26" s="116" t="s">
        <v>971</v>
      </c>
      <c r="B26" s="116" t="s">
        <v>717</v>
      </c>
      <c r="C26" s="117">
        <v>8</v>
      </c>
      <c r="D26" s="91" t="s">
        <v>972</v>
      </c>
      <c r="E26" s="91" t="s">
        <v>19</v>
      </c>
      <c r="F26" s="92">
        <v>41284</v>
      </c>
      <c r="G26" s="118">
        <f>82.41</f>
        <v>82.41</v>
      </c>
      <c r="H26" s="72"/>
      <c r="I26" s="72"/>
      <c r="J26" s="72"/>
      <c r="K26" s="72"/>
      <c r="L26" s="72"/>
      <c r="M26" s="72"/>
      <c r="N26" s="72"/>
      <c r="O26" s="72"/>
      <c r="P26" s="72"/>
      <c r="Q26" s="63">
        <f t="shared" si="0"/>
        <v>82.41</v>
      </c>
      <c r="R26" s="72">
        <f t="shared" si="0"/>
        <v>0</v>
      </c>
      <c r="S26" s="63">
        <f t="shared" si="1"/>
        <v>82.41</v>
      </c>
    </row>
    <row r="27" spans="1:19" x14ac:dyDescent="0.25">
      <c r="A27" s="116" t="s">
        <v>973</v>
      </c>
      <c r="B27" s="116" t="s">
        <v>974</v>
      </c>
      <c r="C27" s="117">
        <v>9</v>
      </c>
      <c r="D27" s="91" t="s">
        <v>975</v>
      </c>
      <c r="E27" s="91" t="s">
        <v>19</v>
      </c>
      <c r="F27" s="92">
        <v>41284</v>
      </c>
      <c r="G27" s="118">
        <v>115.04</v>
      </c>
      <c r="H27" s="72"/>
      <c r="I27" s="72"/>
      <c r="J27" s="72"/>
      <c r="K27" s="72"/>
      <c r="L27" s="72"/>
      <c r="M27" s="72"/>
      <c r="N27" s="72"/>
      <c r="O27" s="72"/>
      <c r="P27" s="72"/>
      <c r="Q27" s="63">
        <f t="shared" si="0"/>
        <v>115.04</v>
      </c>
      <c r="R27" s="72">
        <f t="shared" si="0"/>
        <v>0</v>
      </c>
      <c r="S27" s="63">
        <f t="shared" si="1"/>
        <v>115.04</v>
      </c>
    </row>
    <row r="28" spans="1:19" x14ac:dyDescent="0.25">
      <c r="A28" s="116" t="s">
        <v>976</v>
      </c>
      <c r="B28" s="116" t="s">
        <v>977</v>
      </c>
      <c r="C28" s="117">
        <v>10</v>
      </c>
      <c r="D28" s="91" t="s">
        <v>978</v>
      </c>
      <c r="E28" s="91" t="s">
        <v>19</v>
      </c>
      <c r="F28" s="92">
        <v>41373</v>
      </c>
      <c r="G28" s="118">
        <f>265.15</f>
        <v>265.14999999999998</v>
      </c>
      <c r="H28" s="72"/>
      <c r="I28" s="72"/>
      <c r="J28" s="72"/>
      <c r="K28" s="72"/>
      <c r="L28" s="72"/>
      <c r="M28" s="72"/>
      <c r="N28" s="72"/>
      <c r="O28" s="72"/>
      <c r="P28" s="72"/>
      <c r="Q28" s="63">
        <f t="shared" si="0"/>
        <v>265.14999999999998</v>
      </c>
      <c r="R28" s="72">
        <f t="shared" si="0"/>
        <v>0</v>
      </c>
      <c r="S28" s="63">
        <f t="shared" si="1"/>
        <v>265.14999999999998</v>
      </c>
    </row>
    <row r="29" spans="1:19" x14ac:dyDescent="0.25">
      <c r="A29" s="116" t="s">
        <v>979</v>
      </c>
      <c r="B29" s="116" t="s">
        <v>980</v>
      </c>
      <c r="C29" s="117">
        <v>11</v>
      </c>
      <c r="D29" s="91" t="s">
        <v>981</v>
      </c>
      <c r="E29" s="91" t="s">
        <v>19</v>
      </c>
      <c r="F29" s="121">
        <v>41373</v>
      </c>
      <c r="G29" s="118">
        <v>217.18</v>
      </c>
      <c r="H29" s="72"/>
      <c r="I29" s="72"/>
      <c r="J29" s="72"/>
      <c r="K29" s="72"/>
      <c r="L29" s="72"/>
      <c r="M29" s="72"/>
      <c r="N29" s="72"/>
      <c r="O29" s="72"/>
      <c r="P29" s="72"/>
      <c r="Q29" s="63">
        <f t="shared" si="0"/>
        <v>217.18</v>
      </c>
      <c r="R29" s="72">
        <f t="shared" si="0"/>
        <v>0</v>
      </c>
      <c r="S29" s="63">
        <f t="shared" si="1"/>
        <v>217.18</v>
      </c>
    </row>
    <row r="30" spans="1:19" x14ac:dyDescent="0.25">
      <c r="A30" s="116" t="s">
        <v>982</v>
      </c>
      <c r="B30" s="116" t="s">
        <v>983</v>
      </c>
      <c r="C30" s="117">
        <v>12</v>
      </c>
      <c r="D30" s="91" t="s">
        <v>984</v>
      </c>
      <c r="E30" s="91" t="s">
        <v>19</v>
      </c>
      <c r="F30" s="121">
        <v>41373</v>
      </c>
      <c r="G30" s="118">
        <f>152.52</f>
        <v>152.52000000000001</v>
      </c>
      <c r="H30" s="72"/>
      <c r="I30" s="72"/>
      <c r="J30" s="72"/>
      <c r="K30" s="72"/>
      <c r="L30" s="72"/>
      <c r="M30" s="72"/>
      <c r="N30" s="72"/>
      <c r="O30" s="72"/>
      <c r="P30" s="72"/>
      <c r="Q30" s="63">
        <f t="shared" si="0"/>
        <v>152.52000000000001</v>
      </c>
      <c r="R30" s="72">
        <f t="shared" si="0"/>
        <v>0</v>
      </c>
      <c r="S30" s="63">
        <f t="shared" si="1"/>
        <v>152.52000000000001</v>
      </c>
    </row>
    <row r="31" spans="1:19" x14ac:dyDescent="0.25">
      <c r="A31" s="116" t="s">
        <v>985</v>
      </c>
      <c r="B31" s="116" t="s">
        <v>986</v>
      </c>
      <c r="C31" s="117">
        <v>13</v>
      </c>
      <c r="D31" s="91" t="s">
        <v>987</v>
      </c>
      <c r="E31" s="91" t="s">
        <v>19</v>
      </c>
      <c r="F31" s="92">
        <v>41373</v>
      </c>
      <c r="G31" s="118"/>
      <c r="H31" s="72"/>
      <c r="I31" s="72"/>
      <c r="J31" s="72"/>
      <c r="K31" s="72"/>
      <c r="L31" s="72"/>
      <c r="M31" s="72"/>
      <c r="N31" s="72"/>
      <c r="O31" s="72"/>
      <c r="P31" s="72"/>
      <c r="Q31" s="63">
        <f t="shared" si="0"/>
        <v>0</v>
      </c>
      <c r="R31" s="72">
        <f t="shared" si="0"/>
        <v>0</v>
      </c>
      <c r="S31" s="63">
        <f t="shared" si="1"/>
        <v>0</v>
      </c>
    </row>
    <row r="32" spans="1:19" x14ac:dyDescent="0.25">
      <c r="A32" s="116" t="s">
        <v>988</v>
      </c>
      <c r="B32" s="116" t="s">
        <v>989</v>
      </c>
      <c r="C32" s="117">
        <v>14</v>
      </c>
      <c r="D32" s="91" t="s">
        <v>990</v>
      </c>
      <c r="E32" s="91" t="s">
        <v>19</v>
      </c>
      <c r="F32" s="121">
        <v>41304</v>
      </c>
      <c r="G32" s="118">
        <f>238+555.19</f>
        <v>793.19</v>
      </c>
      <c r="H32" s="72"/>
      <c r="I32" s="72"/>
      <c r="J32" s="72"/>
      <c r="K32" s="72"/>
      <c r="L32" s="72"/>
      <c r="M32" s="72"/>
      <c r="N32" s="72"/>
      <c r="O32" s="72"/>
      <c r="P32" s="72"/>
      <c r="Q32" s="63">
        <f t="shared" si="0"/>
        <v>793.19</v>
      </c>
      <c r="R32" s="72">
        <f t="shared" si="0"/>
        <v>0</v>
      </c>
      <c r="S32" s="63">
        <f t="shared" si="1"/>
        <v>793.19</v>
      </c>
    </row>
    <row r="33" spans="1:19" x14ac:dyDescent="0.25">
      <c r="A33" s="116" t="s">
        <v>991</v>
      </c>
      <c r="B33" s="116" t="s">
        <v>992</v>
      </c>
      <c r="C33" s="117">
        <v>15</v>
      </c>
      <c r="D33" s="91" t="s">
        <v>993</v>
      </c>
      <c r="E33" s="91" t="s">
        <v>19</v>
      </c>
      <c r="F33" s="121">
        <v>41304</v>
      </c>
      <c r="G33" s="118">
        <f>238+96.9</f>
        <v>334.9</v>
      </c>
      <c r="H33" s="72"/>
      <c r="I33" s="72"/>
      <c r="J33" s="72"/>
      <c r="K33" s="72"/>
      <c r="L33" s="72"/>
      <c r="M33" s="72"/>
      <c r="N33" s="72"/>
      <c r="O33" s="72"/>
      <c r="P33" s="72"/>
      <c r="Q33" s="63">
        <f t="shared" si="0"/>
        <v>334.9</v>
      </c>
      <c r="R33" s="72">
        <f t="shared" si="0"/>
        <v>0</v>
      </c>
      <c r="S33" s="63">
        <f t="shared" si="1"/>
        <v>334.9</v>
      </c>
    </row>
    <row r="34" spans="1:19" x14ac:dyDescent="0.25">
      <c r="A34" s="116" t="s">
        <v>994</v>
      </c>
      <c r="B34" s="116" t="s">
        <v>995</v>
      </c>
      <c r="C34" s="117">
        <v>16</v>
      </c>
      <c r="D34" s="91" t="s">
        <v>996</v>
      </c>
      <c r="E34" s="91" t="s">
        <v>19</v>
      </c>
      <c r="F34" s="121">
        <v>41374</v>
      </c>
      <c r="G34" s="118">
        <f>168.62</f>
        <v>168.62</v>
      </c>
      <c r="H34" s="72"/>
      <c r="I34" s="72"/>
      <c r="J34" s="72"/>
      <c r="K34" s="72"/>
      <c r="L34" s="72"/>
      <c r="M34" s="72"/>
      <c r="N34" s="72"/>
      <c r="O34" s="72"/>
      <c r="P34" s="72"/>
      <c r="Q34" s="63">
        <f t="shared" si="0"/>
        <v>168.62</v>
      </c>
      <c r="R34" s="72">
        <f t="shared" si="0"/>
        <v>0</v>
      </c>
      <c r="S34" s="63">
        <f t="shared" si="1"/>
        <v>168.62</v>
      </c>
    </row>
    <row r="35" spans="1:19" x14ac:dyDescent="0.25">
      <c r="A35" s="116" t="s">
        <v>997</v>
      </c>
      <c r="B35" s="116" t="s">
        <v>998</v>
      </c>
      <c r="C35" s="117">
        <v>17</v>
      </c>
      <c r="D35" s="91" t="s">
        <v>999</v>
      </c>
      <c r="E35" s="91" t="s">
        <v>19</v>
      </c>
      <c r="F35" s="121">
        <v>41293</v>
      </c>
      <c r="G35" s="118">
        <f>140.23</f>
        <v>140.22999999999999</v>
      </c>
      <c r="H35" s="72"/>
      <c r="I35" s="120">
        <f>150+225</f>
        <v>375</v>
      </c>
      <c r="J35" s="72"/>
      <c r="K35" s="72"/>
      <c r="L35" s="72"/>
      <c r="M35" s="72"/>
      <c r="N35" s="72"/>
      <c r="O35" s="72"/>
      <c r="P35" s="72"/>
      <c r="Q35" s="63">
        <f t="shared" si="0"/>
        <v>515.23</v>
      </c>
      <c r="R35" s="72">
        <f t="shared" si="0"/>
        <v>0</v>
      </c>
      <c r="S35" s="63">
        <f t="shared" si="1"/>
        <v>515.23</v>
      </c>
    </row>
    <row r="36" spans="1:19" x14ac:dyDescent="0.25">
      <c r="A36" s="116" t="s">
        <v>997</v>
      </c>
      <c r="B36" s="116" t="s">
        <v>998</v>
      </c>
      <c r="C36" s="117">
        <v>17</v>
      </c>
      <c r="D36" s="91" t="s">
        <v>1000</v>
      </c>
      <c r="E36" s="91" t="s">
        <v>19</v>
      </c>
      <c r="F36" s="121">
        <v>41293</v>
      </c>
      <c r="G36" s="118">
        <f>274.36+41.3</f>
        <v>315.66000000000003</v>
      </c>
      <c r="H36" s="72"/>
      <c r="I36" s="120">
        <v>250</v>
      </c>
      <c r="J36" s="72"/>
      <c r="K36" s="72"/>
      <c r="L36" s="72"/>
      <c r="M36" s="72"/>
      <c r="N36" s="72"/>
      <c r="O36" s="72"/>
      <c r="P36" s="72"/>
      <c r="Q36" s="63">
        <f t="shared" si="0"/>
        <v>565.66000000000008</v>
      </c>
      <c r="R36" s="72">
        <f t="shared" si="0"/>
        <v>0</v>
      </c>
      <c r="S36" s="63">
        <f t="shared" si="1"/>
        <v>565.66000000000008</v>
      </c>
    </row>
    <row r="37" spans="1:19" x14ac:dyDescent="0.25">
      <c r="A37" s="116" t="s">
        <v>997</v>
      </c>
      <c r="B37" s="116" t="s">
        <v>998</v>
      </c>
      <c r="C37" s="117">
        <v>17</v>
      </c>
      <c r="D37" s="91" t="s">
        <v>1001</v>
      </c>
      <c r="E37" s="91" t="s">
        <v>19</v>
      </c>
      <c r="F37" s="121">
        <v>41293</v>
      </c>
      <c r="G37" s="118">
        <f>137.34</f>
        <v>137.34</v>
      </c>
      <c r="H37" s="72"/>
      <c r="I37" s="72"/>
      <c r="J37" s="72"/>
      <c r="K37" s="72"/>
      <c r="L37" s="72"/>
      <c r="M37" s="72"/>
      <c r="N37" s="72"/>
      <c r="O37" s="72"/>
      <c r="P37" s="72"/>
      <c r="Q37" s="63">
        <f t="shared" si="0"/>
        <v>137.34</v>
      </c>
      <c r="R37" s="72">
        <f t="shared" si="0"/>
        <v>0</v>
      </c>
      <c r="S37" s="63">
        <f t="shared" si="1"/>
        <v>137.34</v>
      </c>
    </row>
    <row r="38" spans="1:19" x14ac:dyDescent="0.25">
      <c r="A38" s="116" t="s">
        <v>997</v>
      </c>
      <c r="B38" s="116" t="s">
        <v>998</v>
      </c>
      <c r="C38" s="117">
        <v>17</v>
      </c>
      <c r="D38" s="91" t="s">
        <v>1002</v>
      </c>
      <c r="E38" s="91" t="s">
        <v>19</v>
      </c>
      <c r="F38" s="121">
        <v>41293</v>
      </c>
      <c r="G38" s="118">
        <f>48</f>
        <v>48</v>
      </c>
      <c r="H38" s="72"/>
      <c r="I38" s="72"/>
      <c r="J38" s="72"/>
      <c r="K38" s="72"/>
      <c r="L38" s="72"/>
      <c r="M38" s="72"/>
      <c r="N38" s="72"/>
      <c r="O38" s="72"/>
      <c r="P38" s="72"/>
      <c r="Q38" s="63">
        <f t="shared" si="0"/>
        <v>48</v>
      </c>
      <c r="R38" s="72">
        <f t="shared" si="0"/>
        <v>0</v>
      </c>
      <c r="S38" s="63">
        <f t="shared" si="1"/>
        <v>48</v>
      </c>
    </row>
    <row r="39" spans="1:19" x14ac:dyDescent="0.25">
      <c r="A39" s="116" t="s">
        <v>1003</v>
      </c>
      <c r="B39" s="116" t="s">
        <v>1004</v>
      </c>
      <c r="C39" s="117">
        <v>18</v>
      </c>
      <c r="D39" s="91" t="s">
        <v>1005</v>
      </c>
      <c r="E39" s="91" t="s">
        <v>19</v>
      </c>
      <c r="F39" s="121">
        <v>41303</v>
      </c>
      <c r="G39" s="118"/>
      <c r="H39" s="72"/>
      <c r="I39" s="72"/>
      <c r="J39" s="72"/>
      <c r="K39" s="72"/>
      <c r="L39" s="72"/>
      <c r="M39" s="72"/>
      <c r="N39" s="72"/>
      <c r="O39" s="72"/>
      <c r="P39" s="72"/>
      <c r="Q39" s="63">
        <f t="shared" si="0"/>
        <v>0</v>
      </c>
      <c r="R39" s="72">
        <f t="shared" si="0"/>
        <v>0</v>
      </c>
      <c r="S39" s="63">
        <f t="shared" si="1"/>
        <v>0</v>
      </c>
    </row>
    <row r="40" spans="1:19" x14ac:dyDescent="0.25">
      <c r="A40" s="116" t="s">
        <v>1003</v>
      </c>
      <c r="B40" s="116" t="s">
        <v>1004</v>
      </c>
      <c r="C40" s="117">
        <v>18</v>
      </c>
      <c r="D40" s="91" t="s">
        <v>1006</v>
      </c>
      <c r="E40" s="91" t="s">
        <v>19</v>
      </c>
      <c r="F40" s="121">
        <v>41303</v>
      </c>
      <c r="G40" s="118">
        <f>35+141.6</f>
        <v>176.6</v>
      </c>
      <c r="H40" s="72"/>
      <c r="I40" s="120">
        <v>300</v>
      </c>
      <c r="J40" s="72"/>
      <c r="K40" s="72"/>
      <c r="L40" s="72"/>
      <c r="M40" s="72"/>
      <c r="N40" s="72"/>
      <c r="O40" s="72"/>
      <c r="P40" s="72"/>
      <c r="Q40" s="63">
        <f t="shared" si="0"/>
        <v>476.6</v>
      </c>
      <c r="R40" s="72">
        <f t="shared" si="0"/>
        <v>0</v>
      </c>
      <c r="S40" s="63">
        <f t="shared" si="1"/>
        <v>476.6</v>
      </c>
    </row>
    <row r="41" spans="1:19" x14ac:dyDescent="0.25">
      <c r="A41" s="116" t="s">
        <v>1003</v>
      </c>
      <c r="B41" s="116" t="s">
        <v>1004</v>
      </c>
      <c r="C41" s="117">
        <v>18</v>
      </c>
      <c r="D41" s="91" t="s">
        <v>1007</v>
      </c>
      <c r="E41" s="91" t="s">
        <v>19</v>
      </c>
      <c r="F41" s="121">
        <v>41303</v>
      </c>
      <c r="G41" s="118"/>
      <c r="H41" s="72"/>
      <c r="I41" s="73"/>
      <c r="J41" s="72"/>
      <c r="K41" s="72"/>
      <c r="L41" s="72"/>
      <c r="M41" s="72"/>
      <c r="N41" s="72"/>
      <c r="O41" s="72"/>
      <c r="P41" s="72"/>
      <c r="Q41" s="63">
        <f t="shared" si="0"/>
        <v>0</v>
      </c>
      <c r="R41" s="72">
        <f t="shared" si="0"/>
        <v>0</v>
      </c>
      <c r="S41" s="63">
        <f t="shared" si="1"/>
        <v>0</v>
      </c>
    </row>
    <row r="42" spans="1:19" x14ac:dyDescent="0.25">
      <c r="A42" s="116" t="s">
        <v>1003</v>
      </c>
      <c r="B42" s="116" t="s">
        <v>1004</v>
      </c>
      <c r="C42" s="117">
        <v>18</v>
      </c>
      <c r="D42" s="91" t="s">
        <v>1008</v>
      </c>
      <c r="E42" s="91" t="s">
        <v>19</v>
      </c>
      <c r="F42" s="121">
        <v>41303</v>
      </c>
      <c r="G42" s="118"/>
      <c r="H42" s="72"/>
      <c r="I42" s="73"/>
      <c r="J42" s="72"/>
      <c r="K42" s="72"/>
      <c r="L42" s="72"/>
      <c r="M42" s="72"/>
      <c r="N42" s="72"/>
      <c r="O42" s="72"/>
      <c r="P42" s="72"/>
      <c r="Q42" s="63">
        <f t="shared" si="0"/>
        <v>0</v>
      </c>
      <c r="R42" s="72">
        <f t="shared" si="0"/>
        <v>0</v>
      </c>
      <c r="S42" s="63">
        <f t="shared" si="1"/>
        <v>0</v>
      </c>
    </row>
    <row r="43" spans="1:19" x14ac:dyDescent="0.25">
      <c r="A43" s="116" t="s">
        <v>1003</v>
      </c>
      <c r="B43" s="116" t="s">
        <v>1004</v>
      </c>
      <c r="C43" s="117">
        <v>18</v>
      </c>
      <c r="D43" s="91" t="s">
        <v>1009</v>
      </c>
      <c r="E43" s="91" t="s">
        <v>19</v>
      </c>
      <c r="F43" s="121">
        <v>41303</v>
      </c>
      <c r="G43" s="118">
        <f>94.4+110</f>
        <v>204.4</v>
      </c>
      <c r="H43" s="72"/>
      <c r="I43" s="73"/>
      <c r="J43" s="72"/>
      <c r="K43" s="72"/>
      <c r="L43" s="72"/>
      <c r="M43" s="72"/>
      <c r="N43" s="72"/>
      <c r="O43" s="72"/>
      <c r="P43" s="72"/>
      <c r="Q43" s="63">
        <f t="shared" si="0"/>
        <v>204.4</v>
      </c>
      <c r="R43" s="72">
        <f t="shared" si="0"/>
        <v>0</v>
      </c>
      <c r="S43" s="63">
        <f t="shared" si="1"/>
        <v>204.4</v>
      </c>
    </row>
    <row r="44" spans="1:19" x14ac:dyDescent="0.25">
      <c r="A44" s="116" t="s">
        <v>1003</v>
      </c>
      <c r="B44" s="116" t="s">
        <v>1004</v>
      </c>
      <c r="C44" s="117">
        <v>18</v>
      </c>
      <c r="D44" s="91" t="s">
        <v>1010</v>
      </c>
      <c r="E44" s="91" t="s">
        <v>19</v>
      </c>
      <c r="F44" s="121">
        <v>41303</v>
      </c>
      <c r="G44" s="118">
        <f>47.2</f>
        <v>47.2</v>
      </c>
      <c r="H44" s="72"/>
      <c r="I44" s="73"/>
      <c r="J44" s="72"/>
      <c r="K44" s="72"/>
      <c r="L44" s="72"/>
      <c r="M44" s="72"/>
      <c r="N44" s="72"/>
      <c r="O44" s="72"/>
      <c r="P44" s="72"/>
      <c r="Q44" s="63">
        <f t="shared" si="0"/>
        <v>47.2</v>
      </c>
      <c r="R44" s="72">
        <f t="shared" si="0"/>
        <v>0</v>
      </c>
      <c r="S44" s="63">
        <f t="shared" si="1"/>
        <v>47.2</v>
      </c>
    </row>
    <row r="45" spans="1:19" x14ac:dyDescent="0.25">
      <c r="A45" s="116" t="s">
        <v>1011</v>
      </c>
      <c r="B45" s="116" t="s">
        <v>1012</v>
      </c>
      <c r="C45" s="117">
        <v>19</v>
      </c>
      <c r="D45" s="91" t="s">
        <v>1013</v>
      </c>
      <c r="E45" s="91" t="s">
        <v>19</v>
      </c>
      <c r="F45" s="121">
        <v>41300</v>
      </c>
      <c r="G45" s="118">
        <f>1370+558+5360.1+260+260+417.72+89.87+47.2+215</f>
        <v>8577.8900000000012</v>
      </c>
      <c r="H45" s="72"/>
      <c r="I45" s="120">
        <v>2000</v>
      </c>
      <c r="J45" s="72"/>
      <c r="K45" s="72"/>
      <c r="L45" s="72"/>
      <c r="M45" s="72"/>
      <c r="N45" s="72"/>
      <c r="O45" s="72"/>
      <c r="P45" s="72"/>
      <c r="Q45" s="63">
        <f t="shared" si="0"/>
        <v>10577.890000000001</v>
      </c>
      <c r="R45" s="72">
        <f t="shared" si="0"/>
        <v>0</v>
      </c>
      <c r="S45" s="63">
        <f t="shared" si="1"/>
        <v>10577.890000000001</v>
      </c>
    </row>
    <row r="46" spans="1:19" x14ac:dyDescent="0.25">
      <c r="A46" s="116" t="s">
        <v>1014</v>
      </c>
      <c r="B46" s="116" t="s">
        <v>1015</v>
      </c>
      <c r="C46" s="117">
        <v>20</v>
      </c>
      <c r="D46" s="91" t="s">
        <v>1016</v>
      </c>
      <c r="E46" s="91" t="s">
        <v>19</v>
      </c>
      <c r="F46" s="121">
        <v>41304</v>
      </c>
      <c r="G46" s="118">
        <f>558+35+495.6</f>
        <v>1088.5999999999999</v>
      </c>
      <c r="H46" s="72"/>
      <c r="I46" s="72"/>
      <c r="J46" s="72"/>
      <c r="K46" s="72"/>
      <c r="L46" s="72"/>
      <c r="M46" s="72"/>
      <c r="N46" s="72"/>
      <c r="O46" s="72"/>
      <c r="P46" s="72"/>
      <c r="Q46" s="63">
        <f t="shared" si="0"/>
        <v>1088.5999999999999</v>
      </c>
      <c r="R46" s="72">
        <f t="shared" si="0"/>
        <v>0</v>
      </c>
      <c r="S46" s="63">
        <f t="shared" si="1"/>
        <v>1088.5999999999999</v>
      </c>
    </row>
    <row r="47" spans="1:19" x14ac:dyDescent="0.25">
      <c r="A47" s="116" t="s">
        <v>1014</v>
      </c>
      <c r="B47" s="116" t="s">
        <v>1015</v>
      </c>
      <c r="C47" s="117">
        <v>20</v>
      </c>
      <c r="D47" s="91" t="s">
        <v>1017</v>
      </c>
      <c r="E47" s="91" t="s">
        <v>19</v>
      </c>
      <c r="F47" s="121">
        <v>41304</v>
      </c>
      <c r="G47" s="118">
        <f>2910+3618.7+82.53+305</f>
        <v>6916.23</v>
      </c>
      <c r="H47" s="72"/>
      <c r="I47" s="63">
        <v>1500</v>
      </c>
      <c r="J47" s="72"/>
      <c r="K47" s="72"/>
      <c r="L47" s="72"/>
      <c r="M47" s="72"/>
      <c r="N47" s="72"/>
      <c r="O47" s="72"/>
      <c r="P47" s="72"/>
      <c r="Q47" s="63">
        <f t="shared" si="0"/>
        <v>8416.23</v>
      </c>
      <c r="R47" s="72">
        <f t="shared" si="0"/>
        <v>0</v>
      </c>
      <c r="S47" s="63">
        <f t="shared" si="1"/>
        <v>8416.23</v>
      </c>
    </row>
    <row r="48" spans="1:19" x14ac:dyDescent="0.25">
      <c r="A48" s="116" t="s">
        <v>1014</v>
      </c>
      <c r="B48" s="116" t="s">
        <v>1015</v>
      </c>
      <c r="C48" s="117">
        <v>20</v>
      </c>
      <c r="D48" s="91" t="s">
        <v>1018</v>
      </c>
      <c r="E48" s="91" t="s">
        <v>19</v>
      </c>
      <c r="F48" s="121">
        <v>41304</v>
      </c>
      <c r="G48" s="118">
        <f>56.4</f>
        <v>56.4</v>
      </c>
      <c r="H48" s="72"/>
      <c r="I48" s="72"/>
      <c r="J48" s="72"/>
      <c r="K48" s="72"/>
      <c r="L48" s="72"/>
      <c r="M48" s="72"/>
      <c r="N48" s="72"/>
      <c r="O48" s="72"/>
      <c r="P48" s="72"/>
      <c r="Q48" s="63">
        <f t="shared" si="0"/>
        <v>56.4</v>
      </c>
      <c r="R48" s="72">
        <f t="shared" si="0"/>
        <v>0</v>
      </c>
      <c r="S48" s="63">
        <f t="shared" si="1"/>
        <v>56.4</v>
      </c>
    </row>
    <row r="49" spans="1:19" x14ac:dyDescent="0.25">
      <c r="A49" s="116" t="s">
        <v>1014</v>
      </c>
      <c r="B49" s="116" t="s">
        <v>1015</v>
      </c>
      <c r="C49" s="117">
        <v>20</v>
      </c>
      <c r="D49" s="91" t="s">
        <v>1019</v>
      </c>
      <c r="E49" s="91" t="s">
        <v>19</v>
      </c>
      <c r="F49" s="121">
        <v>41304</v>
      </c>
      <c r="G49" s="118">
        <f>48</f>
        <v>48</v>
      </c>
      <c r="H49" s="72"/>
      <c r="I49" s="72"/>
      <c r="J49" s="72"/>
      <c r="K49" s="72"/>
      <c r="L49" s="72"/>
      <c r="M49" s="72"/>
      <c r="N49" s="72"/>
      <c r="O49" s="72"/>
      <c r="P49" s="72"/>
      <c r="Q49" s="63">
        <f t="shared" si="0"/>
        <v>48</v>
      </c>
      <c r="R49" s="72">
        <f t="shared" si="0"/>
        <v>0</v>
      </c>
      <c r="S49" s="63">
        <f t="shared" si="1"/>
        <v>48</v>
      </c>
    </row>
    <row r="50" spans="1:19" x14ac:dyDescent="0.25">
      <c r="A50" s="116" t="s">
        <v>1014</v>
      </c>
      <c r="B50" s="116" t="s">
        <v>1015</v>
      </c>
      <c r="C50" s="117">
        <v>20</v>
      </c>
      <c r="D50" s="91" t="s">
        <v>1020</v>
      </c>
      <c r="E50" s="91" t="s">
        <v>19</v>
      </c>
      <c r="F50" s="121">
        <v>41304</v>
      </c>
      <c r="G50" s="118">
        <f>264.9</f>
        <v>264.89999999999998</v>
      </c>
      <c r="H50" s="72"/>
      <c r="I50" s="72"/>
      <c r="J50" s="72"/>
      <c r="K50" s="72"/>
      <c r="L50" s="72"/>
      <c r="M50" s="72"/>
      <c r="N50" s="72"/>
      <c r="O50" s="72"/>
      <c r="P50" s="72"/>
      <c r="Q50" s="63">
        <f t="shared" si="0"/>
        <v>264.89999999999998</v>
      </c>
      <c r="R50" s="72">
        <f t="shared" si="0"/>
        <v>0</v>
      </c>
      <c r="S50" s="63">
        <f t="shared" si="1"/>
        <v>264.89999999999998</v>
      </c>
    </row>
    <row r="51" spans="1:19" x14ac:dyDescent="0.25">
      <c r="A51" s="116" t="s">
        <v>1014</v>
      </c>
      <c r="B51" s="116" t="s">
        <v>1015</v>
      </c>
      <c r="C51" s="117">
        <v>20</v>
      </c>
      <c r="D51" s="91" t="s">
        <v>1021</v>
      </c>
      <c r="E51" s="91" t="s">
        <v>19</v>
      </c>
      <c r="F51" s="121">
        <v>41304</v>
      </c>
      <c r="G51" s="118">
        <f>192</f>
        <v>192</v>
      </c>
      <c r="H51" s="72"/>
      <c r="I51" s="72"/>
      <c r="J51" s="72"/>
      <c r="K51" s="72"/>
      <c r="L51" s="72"/>
      <c r="M51" s="72"/>
      <c r="N51" s="72"/>
      <c r="O51" s="72"/>
      <c r="P51" s="72"/>
      <c r="Q51" s="63">
        <f t="shared" si="0"/>
        <v>192</v>
      </c>
      <c r="R51" s="72">
        <f t="shared" si="0"/>
        <v>0</v>
      </c>
      <c r="S51" s="63">
        <f t="shared" si="1"/>
        <v>192</v>
      </c>
    </row>
    <row r="52" spans="1:19" x14ac:dyDescent="0.25">
      <c r="A52" s="116" t="s">
        <v>1014</v>
      </c>
      <c r="B52" s="116" t="s">
        <v>1015</v>
      </c>
      <c r="C52" s="117">
        <v>20</v>
      </c>
      <c r="D52" s="91" t="s">
        <v>1022</v>
      </c>
      <c r="E52" s="91" t="s">
        <v>19</v>
      </c>
      <c r="F52" s="121">
        <v>41304</v>
      </c>
      <c r="G52" s="122"/>
      <c r="H52" s="72"/>
      <c r="I52" s="72"/>
      <c r="J52" s="72"/>
      <c r="K52" s="72"/>
      <c r="L52" s="72"/>
      <c r="M52" s="123">
        <v>3650</v>
      </c>
      <c r="N52" s="72"/>
      <c r="O52" s="123">
        <v>14800</v>
      </c>
      <c r="P52" s="72"/>
      <c r="Q52" s="63">
        <f t="shared" si="0"/>
        <v>18450</v>
      </c>
      <c r="R52" s="72">
        <f t="shared" si="0"/>
        <v>0</v>
      </c>
      <c r="S52" s="63">
        <f t="shared" si="1"/>
        <v>18450</v>
      </c>
    </row>
    <row r="53" spans="1:19" x14ac:dyDescent="0.25">
      <c r="A53" s="116" t="s">
        <v>1023</v>
      </c>
      <c r="B53" s="116" t="s">
        <v>1024</v>
      </c>
      <c r="C53" s="117">
        <v>21</v>
      </c>
      <c r="D53" s="91" t="s">
        <v>1025</v>
      </c>
      <c r="E53" s="91" t="s">
        <v>19</v>
      </c>
      <c r="F53" s="121">
        <v>41313</v>
      </c>
      <c r="G53" s="118">
        <f>468.2</f>
        <v>468.2</v>
      </c>
      <c r="H53" s="72"/>
      <c r="I53" s="72"/>
      <c r="J53" s="72"/>
      <c r="K53" s="72"/>
      <c r="L53" s="72"/>
      <c r="M53" s="72"/>
      <c r="N53" s="72"/>
      <c r="O53" s="72"/>
      <c r="P53" s="72"/>
      <c r="Q53" s="63">
        <f t="shared" si="0"/>
        <v>468.2</v>
      </c>
      <c r="R53" s="72">
        <f t="shared" si="0"/>
        <v>0</v>
      </c>
      <c r="S53" s="63">
        <f t="shared" si="1"/>
        <v>468.2</v>
      </c>
    </row>
    <row r="54" spans="1:19" x14ac:dyDescent="0.25">
      <c r="A54" s="116" t="s">
        <v>1023</v>
      </c>
      <c r="B54" s="116" t="s">
        <v>1024</v>
      </c>
      <c r="C54" s="117">
        <v>21</v>
      </c>
      <c r="D54" s="91" t="s">
        <v>1026</v>
      </c>
      <c r="E54" s="91" t="s">
        <v>19</v>
      </c>
      <c r="F54" s="121">
        <v>41313</v>
      </c>
      <c r="G54" s="118">
        <f>67.5+168.9</f>
        <v>236.4</v>
      </c>
      <c r="H54" s="72"/>
      <c r="I54" s="120">
        <f>1250</f>
        <v>1250</v>
      </c>
      <c r="J54" s="72"/>
      <c r="K54" s="72"/>
      <c r="L54" s="72"/>
      <c r="M54" s="72"/>
      <c r="N54" s="72"/>
      <c r="O54" s="72"/>
      <c r="P54" s="72"/>
      <c r="Q54" s="63">
        <f t="shared" si="0"/>
        <v>1486.4</v>
      </c>
      <c r="R54" s="72">
        <f t="shared" si="0"/>
        <v>0</v>
      </c>
      <c r="S54" s="63">
        <f t="shared" si="1"/>
        <v>1486.4</v>
      </c>
    </row>
    <row r="55" spans="1:19" x14ac:dyDescent="0.25">
      <c r="A55" s="116" t="s">
        <v>1023</v>
      </c>
      <c r="B55" s="116" t="s">
        <v>1024</v>
      </c>
      <c r="C55" s="117">
        <v>21</v>
      </c>
      <c r="D55" s="91" t="s">
        <v>1027</v>
      </c>
      <c r="E55" s="91" t="s">
        <v>19</v>
      </c>
      <c r="F55" s="121">
        <v>41313</v>
      </c>
      <c r="G55" s="118">
        <f>121.5</f>
        <v>121.5</v>
      </c>
      <c r="H55" s="72"/>
      <c r="I55" s="72"/>
      <c r="J55" s="72"/>
      <c r="K55" s="72"/>
      <c r="L55" s="72"/>
      <c r="M55" s="72"/>
      <c r="N55" s="72"/>
      <c r="O55" s="72"/>
      <c r="P55" s="72"/>
      <c r="Q55" s="63">
        <f t="shared" si="0"/>
        <v>121.5</v>
      </c>
      <c r="R55" s="72">
        <f t="shared" si="0"/>
        <v>0</v>
      </c>
      <c r="S55" s="63">
        <f t="shared" si="1"/>
        <v>121.5</v>
      </c>
    </row>
    <row r="56" spans="1:19" x14ac:dyDescent="0.25">
      <c r="A56" s="116" t="s">
        <v>1028</v>
      </c>
      <c r="B56" s="116" t="s">
        <v>1029</v>
      </c>
      <c r="C56" s="117">
        <v>22</v>
      </c>
      <c r="D56" s="91" t="s">
        <v>1030</v>
      </c>
      <c r="E56" s="91" t="s">
        <v>19</v>
      </c>
      <c r="F56" s="121">
        <v>41300</v>
      </c>
      <c r="G56" s="118">
        <f>100+5095.23+6425.6+79.64+41.3+41.3+126.57+165.98+49.84+202.8+41.3+391</f>
        <v>12760.559999999996</v>
      </c>
      <c r="H56" s="72"/>
      <c r="I56" s="72"/>
      <c r="J56" s="72"/>
      <c r="K56" s="72"/>
      <c r="L56" s="72"/>
      <c r="M56" s="72"/>
      <c r="N56" s="72"/>
      <c r="O56" s="72"/>
      <c r="P56" s="72"/>
      <c r="Q56" s="63">
        <f t="shared" si="0"/>
        <v>12760.559999999996</v>
      </c>
      <c r="R56" s="72">
        <f t="shared" si="0"/>
        <v>0</v>
      </c>
      <c r="S56" s="63">
        <f t="shared" si="1"/>
        <v>12760.559999999996</v>
      </c>
    </row>
    <row r="57" spans="1:19" x14ac:dyDescent="0.25">
      <c r="A57" s="116" t="s">
        <v>1031</v>
      </c>
      <c r="B57" s="116" t="s">
        <v>1032</v>
      </c>
      <c r="C57" s="117">
        <v>23</v>
      </c>
      <c r="D57" s="91" t="s">
        <v>1033</v>
      </c>
      <c r="E57" s="91" t="s">
        <v>19</v>
      </c>
      <c r="F57" s="121">
        <v>41306</v>
      </c>
      <c r="G57" s="118">
        <f>86.16</f>
        <v>86.16</v>
      </c>
      <c r="H57" s="72"/>
      <c r="I57" s="72"/>
      <c r="J57" s="72"/>
      <c r="K57" s="72"/>
      <c r="L57" s="72"/>
      <c r="M57" s="72"/>
      <c r="N57" s="72"/>
      <c r="O57" s="72"/>
      <c r="P57" s="72"/>
      <c r="Q57" s="63">
        <f t="shared" si="0"/>
        <v>86.16</v>
      </c>
      <c r="R57" s="72">
        <f t="shared" si="0"/>
        <v>0</v>
      </c>
      <c r="S57" s="63">
        <f t="shared" si="1"/>
        <v>86.16</v>
      </c>
    </row>
    <row r="58" spans="1:19" x14ac:dyDescent="0.25">
      <c r="A58" s="116" t="s">
        <v>1031</v>
      </c>
      <c r="B58" s="116" t="s">
        <v>1032</v>
      </c>
      <c r="C58" s="117">
        <v>23</v>
      </c>
      <c r="D58" s="91" t="s">
        <v>1034</v>
      </c>
      <c r="E58" s="91" t="s">
        <v>19</v>
      </c>
      <c r="F58" s="121">
        <v>41318</v>
      </c>
      <c r="G58" s="118">
        <f>108.67</f>
        <v>108.67</v>
      </c>
      <c r="H58" s="72"/>
      <c r="I58" s="72"/>
      <c r="J58" s="72"/>
      <c r="K58" s="72"/>
      <c r="L58" s="72"/>
      <c r="M58" s="72"/>
      <c r="N58" s="72"/>
      <c r="O58" s="72"/>
      <c r="P58" s="72"/>
      <c r="Q58" s="63">
        <f t="shared" si="0"/>
        <v>108.67</v>
      </c>
      <c r="R58" s="72">
        <f t="shared" si="0"/>
        <v>0</v>
      </c>
      <c r="S58" s="63">
        <f t="shared" si="1"/>
        <v>108.67</v>
      </c>
    </row>
    <row r="59" spans="1:19" x14ac:dyDescent="0.25">
      <c r="A59" s="116" t="s">
        <v>1035</v>
      </c>
      <c r="B59" s="116" t="s">
        <v>1036</v>
      </c>
      <c r="C59" s="117">
        <v>24</v>
      </c>
      <c r="D59" s="91" t="s">
        <v>1037</v>
      </c>
      <c r="E59" s="91" t="s">
        <v>19</v>
      </c>
      <c r="F59" s="121">
        <v>41316</v>
      </c>
      <c r="G59" s="118">
        <v>115.88</v>
      </c>
      <c r="H59" s="72"/>
      <c r="I59" s="72"/>
      <c r="J59" s="72"/>
      <c r="K59" s="72"/>
      <c r="L59" s="72"/>
      <c r="M59" s="72"/>
      <c r="N59" s="72"/>
      <c r="O59" s="72"/>
      <c r="P59" s="72"/>
      <c r="Q59" s="63">
        <f t="shared" si="0"/>
        <v>115.88</v>
      </c>
      <c r="R59" s="72">
        <f t="shared" si="0"/>
        <v>0</v>
      </c>
      <c r="S59" s="63">
        <f t="shared" si="1"/>
        <v>115.88</v>
      </c>
    </row>
    <row r="60" spans="1:19" x14ac:dyDescent="0.25">
      <c r="A60" s="116" t="s">
        <v>1038</v>
      </c>
      <c r="B60" s="116" t="s">
        <v>348</v>
      </c>
      <c r="C60" s="117">
        <v>25</v>
      </c>
      <c r="D60" s="91" t="s">
        <v>1039</v>
      </c>
      <c r="E60" s="91" t="s">
        <v>19</v>
      </c>
      <c r="F60" s="121">
        <v>41309</v>
      </c>
      <c r="G60" s="118">
        <v>126.6</v>
      </c>
      <c r="H60" s="72"/>
      <c r="I60" s="72"/>
      <c r="J60" s="72"/>
      <c r="K60" s="72"/>
      <c r="L60" s="72"/>
      <c r="M60" s="72"/>
      <c r="N60" s="72"/>
      <c r="O60" s="72"/>
      <c r="P60" s="72"/>
      <c r="Q60" s="63">
        <f t="shared" si="0"/>
        <v>126.6</v>
      </c>
      <c r="R60" s="72">
        <f t="shared" si="0"/>
        <v>0</v>
      </c>
      <c r="S60" s="63">
        <f t="shared" si="1"/>
        <v>126.6</v>
      </c>
    </row>
    <row r="61" spans="1:19" x14ac:dyDescent="0.25">
      <c r="A61" s="116" t="s">
        <v>1040</v>
      </c>
      <c r="B61" s="116" t="s">
        <v>1041</v>
      </c>
      <c r="C61" s="117">
        <v>26</v>
      </c>
      <c r="D61" s="91" t="s">
        <v>1042</v>
      </c>
      <c r="E61" s="91" t="s">
        <v>19</v>
      </c>
      <c r="F61" s="92">
        <v>41309</v>
      </c>
      <c r="G61" s="118"/>
      <c r="H61" s="72"/>
      <c r="I61" s="72"/>
      <c r="J61" s="72"/>
      <c r="K61" s="72"/>
      <c r="L61" s="72"/>
      <c r="M61" s="72"/>
      <c r="N61" s="72"/>
      <c r="O61" s="72"/>
      <c r="P61" s="72"/>
      <c r="Q61" s="63">
        <f t="shared" si="0"/>
        <v>0</v>
      </c>
      <c r="R61" s="72">
        <f t="shared" si="0"/>
        <v>0</v>
      </c>
      <c r="S61" s="63">
        <f t="shared" si="1"/>
        <v>0</v>
      </c>
    </row>
    <row r="62" spans="1:19" x14ac:dyDescent="0.25">
      <c r="A62" s="116" t="s">
        <v>1040</v>
      </c>
      <c r="B62" s="116" t="s">
        <v>1041</v>
      </c>
      <c r="C62" s="117">
        <v>26</v>
      </c>
      <c r="D62" s="91" t="s">
        <v>1043</v>
      </c>
      <c r="E62" s="91" t="s">
        <v>19</v>
      </c>
      <c r="F62" s="121">
        <v>41309</v>
      </c>
      <c r="G62" s="118">
        <f>938.9</f>
        <v>938.9</v>
      </c>
      <c r="H62" s="72"/>
      <c r="I62" s="72"/>
      <c r="J62" s="72"/>
      <c r="K62" s="72"/>
      <c r="L62" s="72"/>
      <c r="M62" s="72"/>
      <c r="N62" s="72"/>
      <c r="O62" s="72"/>
      <c r="P62" s="72"/>
      <c r="Q62" s="63">
        <f t="shared" si="0"/>
        <v>938.9</v>
      </c>
      <c r="R62" s="72">
        <f t="shared" si="0"/>
        <v>0</v>
      </c>
      <c r="S62" s="63">
        <f t="shared" si="1"/>
        <v>938.9</v>
      </c>
    </row>
    <row r="63" spans="1:19" x14ac:dyDescent="0.25">
      <c r="A63" s="116" t="s">
        <v>1044</v>
      </c>
      <c r="B63" s="116" t="s">
        <v>1045</v>
      </c>
      <c r="C63" s="117">
        <v>27</v>
      </c>
      <c r="D63" s="91" t="s">
        <v>1046</v>
      </c>
      <c r="E63" s="91" t="s">
        <v>19</v>
      </c>
      <c r="F63" s="121">
        <v>41409</v>
      </c>
      <c r="G63" s="118">
        <f>124.6</f>
        <v>124.6</v>
      </c>
      <c r="H63" s="72"/>
      <c r="I63" s="72"/>
      <c r="J63" s="72"/>
      <c r="K63" s="72"/>
      <c r="L63" s="72"/>
      <c r="M63" s="72"/>
      <c r="N63" s="72"/>
      <c r="O63" s="72"/>
      <c r="P63" s="72"/>
      <c r="Q63" s="63">
        <f t="shared" si="0"/>
        <v>124.6</v>
      </c>
      <c r="R63" s="72">
        <f t="shared" si="0"/>
        <v>0</v>
      </c>
      <c r="S63" s="63">
        <f t="shared" si="1"/>
        <v>124.6</v>
      </c>
    </row>
    <row r="64" spans="1:19" x14ac:dyDescent="0.25">
      <c r="A64" s="116" t="s">
        <v>1047</v>
      </c>
      <c r="B64" s="116" t="s">
        <v>1048</v>
      </c>
      <c r="C64" s="117">
        <v>28</v>
      </c>
      <c r="D64" s="91" t="s">
        <v>1049</v>
      </c>
      <c r="E64" s="91" t="s">
        <v>19</v>
      </c>
      <c r="F64" s="121">
        <v>41302</v>
      </c>
      <c r="G64" s="118">
        <f>1106.19+74.41</f>
        <v>1180.6000000000001</v>
      </c>
      <c r="H64" s="72"/>
      <c r="I64" s="120">
        <v>500</v>
      </c>
      <c r="J64" s="72"/>
      <c r="K64" s="72"/>
      <c r="L64" s="72"/>
      <c r="M64" s="72"/>
      <c r="N64" s="72"/>
      <c r="O64" s="72"/>
      <c r="P64" s="72"/>
      <c r="Q64" s="63">
        <f t="shared" si="0"/>
        <v>1680.6000000000001</v>
      </c>
      <c r="R64" s="72">
        <f t="shared" si="0"/>
        <v>0</v>
      </c>
      <c r="S64" s="63">
        <f t="shared" si="1"/>
        <v>1680.6000000000001</v>
      </c>
    </row>
    <row r="65" spans="1:19" x14ac:dyDescent="0.25">
      <c r="A65" s="116" t="s">
        <v>1050</v>
      </c>
      <c r="B65" s="116" t="s">
        <v>1051</v>
      </c>
      <c r="C65" s="117">
        <v>29</v>
      </c>
      <c r="D65" s="91" t="s">
        <v>1052</v>
      </c>
      <c r="E65" s="91" t="s">
        <v>19</v>
      </c>
      <c r="F65" s="121">
        <v>41304</v>
      </c>
      <c r="G65" s="118">
        <f>238+10066.92</f>
        <v>10304.92</v>
      </c>
      <c r="H65" s="72"/>
      <c r="I65" s="73"/>
      <c r="J65" s="72"/>
      <c r="K65" s="72"/>
      <c r="L65" s="72"/>
      <c r="M65" s="72"/>
      <c r="N65" s="72"/>
      <c r="O65" s="72"/>
      <c r="P65" s="72"/>
      <c r="Q65" s="63">
        <f t="shared" si="0"/>
        <v>10304.92</v>
      </c>
      <c r="R65" s="72">
        <f t="shared" si="0"/>
        <v>0</v>
      </c>
      <c r="S65" s="63">
        <f t="shared" si="1"/>
        <v>10304.92</v>
      </c>
    </row>
    <row r="66" spans="1:19" x14ac:dyDescent="0.25">
      <c r="A66" s="116" t="s">
        <v>1053</v>
      </c>
      <c r="B66" s="116" t="s">
        <v>1054</v>
      </c>
      <c r="C66" s="117">
        <v>30</v>
      </c>
      <c r="D66" s="91" t="s">
        <v>1055</v>
      </c>
      <c r="E66" s="91" t="s">
        <v>19</v>
      </c>
      <c r="F66" s="121">
        <v>41338</v>
      </c>
      <c r="G66" s="118">
        <f>47.2+659.67+142.7</f>
        <v>849.56999999999994</v>
      </c>
      <c r="H66" s="72"/>
      <c r="I66" s="73"/>
      <c r="J66" s="72"/>
      <c r="K66" s="72"/>
      <c r="L66" s="72"/>
      <c r="M66" s="72"/>
      <c r="N66" s="72"/>
      <c r="O66" s="72"/>
      <c r="P66" s="72"/>
      <c r="Q66" s="63">
        <f t="shared" si="0"/>
        <v>849.56999999999994</v>
      </c>
      <c r="R66" s="72">
        <f t="shared" si="0"/>
        <v>0</v>
      </c>
      <c r="S66" s="63">
        <f t="shared" si="1"/>
        <v>849.56999999999994</v>
      </c>
    </row>
    <row r="67" spans="1:19" x14ac:dyDescent="0.25">
      <c r="A67" s="116" t="s">
        <v>1056</v>
      </c>
      <c r="B67" s="116" t="s">
        <v>1057</v>
      </c>
      <c r="C67" s="117">
        <v>31</v>
      </c>
      <c r="D67" s="91" t="s">
        <v>1058</v>
      </c>
      <c r="E67" s="91" t="s">
        <v>19</v>
      </c>
      <c r="F67" s="121">
        <v>41311</v>
      </c>
      <c r="G67" s="118">
        <f>24.5+238+94.4+47.2+47.2+18+73.6+166</f>
        <v>708.9</v>
      </c>
      <c r="H67" s="72"/>
      <c r="I67" s="120">
        <f>100</f>
        <v>100</v>
      </c>
      <c r="J67" s="72"/>
      <c r="K67" s="72"/>
      <c r="L67" s="72"/>
      <c r="M67" s="72"/>
      <c r="N67" s="72"/>
      <c r="O67" s="72"/>
      <c r="P67" s="72"/>
      <c r="Q67" s="63">
        <f t="shared" si="0"/>
        <v>808.9</v>
      </c>
      <c r="R67" s="72">
        <f t="shared" si="0"/>
        <v>0</v>
      </c>
      <c r="S67" s="63">
        <f t="shared" si="1"/>
        <v>808.9</v>
      </c>
    </row>
    <row r="68" spans="1:19" x14ac:dyDescent="0.25">
      <c r="A68" s="116" t="s">
        <v>1056</v>
      </c>
      <c r="B68" s="116" t="s">
        <v>1057</v>
      </c>
      <c r="C68" s="117">
        <v>31</v>
      </c>
      <c r="D68" s="91" t="s">
        <v>1059</v>
      </c>
      <c r="E68" s="91" t="s">
        <v>19</v>
      </c>
      <c r="F68" s="121">
        <v>41311</v>
      </c>
      <c r="G68" s="118">
        <f>238+47.2+10.43+47.2+92.76+41.5</f>
        <v>477.09</v>
      </c>
      <c r="H68" s="72"/>
      <c r="I68" s="120">
        <f>150</f>
        <v>150</v>
      </c>
      <c r="J68" s="72"/>
      <c r="K68" s="72"/>
      <c r="L68" s="72"/>
      <c r="M68" s="72"/>
      <c r="N68" s="72"/>
      <c r="O68" s="72"/>
      <c r="P68" s="72"/>
      <c r="Q68" s="63">
        <f t="shared" si="0"/>
        <v>627.08999999999992</v>
      </c>
      <c r="R68" s="72">
        <f t="shared" si="0"/>
        <v>0</v>
      </c>
      <c r="S68" s="63">
        <f t="shared" si="1"/>
        <v>627.08999999999992</v>
      </c>
    </row>
    <row r="69" spans="1:19" x14ac:dyDescent="0.25">
      <c r="A69" s="116" t="s">
        <v>1056</v>
      </c>
      <c r="B69" s="116" t="s">
        <v>1057</v>
      </c>
      <c r="C69" s="117">
        <v>31</v>
      </c>
      <c r="D69" s="91" t="s">
        <v>1060</v>
      </c>
      <c r="E69" s="91" t="s">
        <v>19</v>
      </c>
      <c r="F69" s="121">
        <v>41311</v>
      </c>
      <c r="G69" s="118"/>
      <c r="H69" s="72"/>
      <c r="I69" s="73"/>
      <c r="J69" s="72"/>
      <c r="K69" s="72"/>
      <c r="L69" s="72"/>
      <c r="M69" s="72"/>
      <c r="N69" s="72"/>
      <c r="O69" s="72"/>
      <c r="P69" s="72"/>
      <c r="Q69" s="63">
        <f t="shared" si="0"/>
        <v>0</v>
      </c>
      <c r="R69" s="72">
        <f t="shared" si="0"/>
        <v>0</v>
      </c>
      <c r="S69" s="63">
        <f t="shared" si="1"/>
        <v>0</v>
      </c>
    </row>
    <row r="70" spans="1:19" x14ac:dyDescent="0.25">
      <c r="A70" s="116" t="s">
        <v>1061</v>
      </c>
      <c r="B70" s="116" t="s">
        <v>1062</v>
      </c>
      <c r="C70" s="117">
        <v>32</v>
      </c>
      <c r="D70" s="91" t="s">
        <v>1063</v>
      </c>
      <c r="E70" s="91" t="s">
        <v>19</v>
      </c>
      <c r="F70" s="121">
        <v>41311</v>
      </c>
      <c r="G70" s="118"/>
      <c r="H70" s="72"/>
      <c r="I70" s="72"/>
      <c r="J70" s="72"/>
      <c r="K70" s="72"/>
      <c r="L70" s="72"/>
      <c r="M70" s="72"/>
      <c r="N70" s="72"/>
      <c r="O70" s="72"/>
      <c r="P70" s="72"/>
      <c r="Q70" s="63">
        <f t="shared" si="0"/>
        <v>0</v>
      </c>
      <c r="R70" s="72">
        <f t="shared" si="0"/>
        <v>0</v>
      </c>
      <c r="S70" s="63">
        <f t="shared" si="1"/>
        <v>0</v>
      </c>
    </row>
    <row r="71" spans="1:19" x14ac:dyDescent="0.25">
      <c r="A71" s="116" t="s">
        <v>1061</v>
      </c>
      <c r="B71" s="116" t="s">
        <v>1062</v>
      </c>
      <c r="C71" s="117">
        <v>32</v>
      </c>
      <c r="D71" s="91" t="s">
        <v>1064</v>
      </c>
      <c r="E71" s="91" t="s">
        <v>19</v>
      </c>
      <c r="F71" s="121">
        <v>41311</v>
      </c>
      <c r="G71" s="118">
        <f>204.4</f>
        <v>204.4</v>
      </c>
      <c r="H71" s="72"/>
      <c r="I71" s="72"/>
      <c r="J71" s="72"/>
      <c r="K71" s="72"/>
      <c r="L71" s="72"/>
      <c r="M71" s="72"/>
      <c r="N71" s="72"/>
      <c r="O71" s="72"/>
      <c r="P71" s="72"/>
      <c r="Q71" s="63">
        <f t="shared" si="0"/>
        <v>204.4</v>
      </c>
      <c r="R71" s="72">
        <f t="shared" si="0"/>
        <v>0</v>
      </c>
      <c r="S71" s="63">
        <f t="shared" si="1"/>
        <v>204.4</v>
      </c>
    </row>
    <row r="72" spans="1:19" x14ac:dyDescent="0.25">
      <c r="A72" s="116" t="s">
        <v>1065</v>
      </c>
      <c r="B72" s="116" t="s">
        <v>1066</v>
      </c>
      <c r="C72" s="117">
        <v>33</v>
      </c>
      <c r="D72" s="91" t="s">
        <v>1067</v>
      </c>
      <c r="E72" s="91" t="s">
        <v>19</v>
      </c>
      <c r="F72" s="121">
        <v>41305</v>
      </c>
      <c r="G72" s="118"/>
      <c r="H72" s="73"/>
      <c r="I72" s="73"/>
      <c r="J72" s="73"/>
      <c r="K72" s="73"/>
      <c r="L72" s="73"/>
      <c r="M72" s="73"/>
      <c r="N72" s="73"/>
      <c r="O72" s="120">
        <v>14600</v>
      </c>
      <c r="P72" s="73"/>
      <c r="Q72" s="63">
        <f t="shared" si="0"/>
        <v>14600</v>
      </c>
      <c r="R72" s="72">
        <f t="shared" si="0"/>
        <v>0</v>
      </c>
      <c r="S72" s="63">
        <f t="shared" si="1"/>
        <v>14600</v>
      </c>
    </row>
    <row r="73" spans="1:19" x14ac:dyDescent="0.25">
      <c r="A73" s="116" t="s">
        <v>1068</v>
      </c>
      <c r="B73" s="116" t="s">
        <v>1069</v>
      </c>
      <c r="C73" s="117">
        <v>34</v>
      </c>
      <c r="D73" s="91" t="s">
        <v>1070</v>
      </c>
      <c r="E73" s="91" t="s">
        <v>19</v>
      </c>
      <c r="F73" s="121">
        <v>41332</v>
      </c>
      <c r="G73" s="118">
        <f>1430.28+41.3+41.3+99.37</f>
        <v>1612.25</v>
      </c>
      <c r="H73" s="72"/>
      <c r="I73" s="72"/>
      <c r="J73" s="72"/>
      <c r="K73" s="72"/>
      <c r="L73" s="72"/>
      <c r="M73" s="72"/>
      <c r="N73" s="72"/>
      <c r="O73" s="72"/>
      <c r="P73" s="72"/>
      <c r="Q73" s="63">
        <f t="shared" si="0"/>
        <v>1612.25</v>
      </c>
      <c r="R73" s="72">
        <f t="shared" si="0"/>
        <v>0</v>
      </c>
      <c r="S73" s="63">
        <f t="shared" si="1"/>
        <v>1612.25</v>
      </c>
    </row>
    <row r="74" spans="1:19" x14ac:dyDescent="0.25">
      <c r="A74" s="116" t="s">
        <v>1071</v>
      </c>
      <c r="B74" s="116" t="s">
        <v>1072</v>
      </c>
      <c r="C74" s="117">
        <v>35</v>
      </c>
      <c r="D74" s="91" t="s">
        <v>1073</v>
      </c>
      <c r="E74" s="91" t="s">
        <v>19</v>
      </c>
      <c r="F74" s="121">
        <v>41318</v>
      </c>
      <c r="G74" s="118">
        <f>2450+59+47.2+47.2+3846.59+829.9+77.56+77.56+77.56+100+77.56+77.56+82.6</f>
        <v>7850.2900000000018</v>
      </c>
      <c r="H74" s="72"/>
      <c r="I74" s="120">
        <f>2250+750</f>
        <v>3000</v>
      </c>
      <c r="J74" s="72"/>
      <c r="K74" s="72"/>
      <c r="L74" s="72"/>
      <c r="M74" s="72"/>
      <c r="N74" s="72"/>
      <c r="O74" s="72"/>
      <c r="P74" s="72"/>
      <c r="Q74" s="63">
        <f t="shared" si="0"/>
        <v>10850.29</v>
      </c>
      <c r="R74" s="72">
        <f t="shared" si="0"/>
        <v>0</v>
      </c>
      <c r="S74" s="63">
        <f t="shared" si="1"/>
        <v>10850.29</v>
      </c>
    </row>
    <row r="75" spans="1:19" x14ac:dyDescent="0.25">
      <c r="A75" s="116">
        <v>64620</v>
      </c>
      <c r="B75" s="116" t="s">
        <v>1074</v>
      </c>
      <c r="C75" s="117">
        <v>36</v>
      </c>
      <c r="D75" s="91" t="s">
        <v>1075</v>
      </c>
      <c r="E75" s="91" t="s">
        <v>19</v>
      </c>
      <c r="F75" s="121">
        <v>41338</v>
      </c>
      <c r="G75" s="118">
        <f>100.38</f>
        <v>100.38</v>
      </c>
      <c r="H75" s="72"/>
      <c r="I75" s="73"/>
      <c r="J75" s="72"/>
      <c r="K75" s="72"/>
      <c r="L75" s="72"/>
      <c r="M75" s="72"/>
      <c r="N75" s="72"/>
      <c r="O75" s="72"/>
      <c r="P75" s="72"/>
      <c r="Q75" s="63">
        <f t="shared" ref="Q75:R139" si="2">+G75+I75+K75+M75+O75</f>
        <v>100.38</v>
      </c>
      <c r="R75" s="72">
        <f t="shared" si="2"/>
        <v>0</v>
      </c>
      <c r="S75" s="63">
        <f t="shared" ref="S75:S139" si="3">+Q75+R75</f>
        <v>100.38</v>
      </c>
    </row>
    <row r="76" spans="1:19" x14ac:dyDescent="0.25">
      <c r="A76" s="116">
        <v>61419</v>
      </c>
      <c r="B76" s="116" t="s">
        <v>1076</v>
      </c>
      <c r="C76" s="117">
        <v>37</v>
      </c>
      <c r="D76" s="91" t="s">
        <v>1077</v>
      </c>
      <c r="E76" s="91" t="s">
        <v>19</v>
      </c>
      <c r="F76" s="121">
        <v>41409</v>
      </c>
      <c r="G76" s="118">
        <f>79.9</f>
        <v>79.900000000000006</v>
      </c>
      <c r="H76" s="72"/>
      <c r="I76" s="73"/>
      <c r="J76" s="72"/>
      <c r="K76" s="72"/>
      <c r="L76" s="72"/>
      <c r="M76" s="72"/>
      <c r="N76" s="72"/>
      <c r="O76" s="72"/>
      <c r="P76" s="72"/>
      <c r="Q76" s="63">
        <f t="shared" si="2"/>
        <v>79.900000000000006</v>
      </c>
      <c r="R76" s="72">
        <f t="shared" si="2"/>
        <v>0</v>
      </c>
      <c r="S76" s="63">
        <f t="shared" si="3"/>
        <v>79.900000000000006</v>
      </c>
    </row>
    <row r="77" spans="1:19" x14ac:dyDescent="0.25">
      <c r="A77" s="116" t="s">
        <v>1078</v>
      </c>
      <c r="B77" s="116" t="s">
        <v>1079</v>
      </c>
      <c r="C77" s="117">
        <v>38</v>
      </c>
      <c r="D77" s="91" t="s">
        <v>1080</v>
      </c>
      <c r="E77" s="91" t="s">
        <v>19</v>
      </c>
      <c r="F77" s="121">
        <v>41334</v>
      </c>
      <c r="G77" s="118">
        <f>505.41</f>
        <v>505.41</v>
      </c>
      <c r="H77" s="72"/>
      <c r="I77" s="73"/>
      <c r="J77" s="72"/>
      <c r="K77" s="72"/>
      <c r="L77" s="72"/>
      <c r="M77" s="72"/>
      <c r="N77" s="72"/>
      <c r="O77" s="72"/>
      <c r="P77" s="72"/>
      <c r="Q77" s="63">
        <f t="shared" si="2"/>
        <v>505.41</v>
      </c>
      <c r="R77" s="72">
        <f t="shared" si="2"/>
        <v>0</v>
      </c>
      <c r="S77" s="63">
        <f t="shared" si="3"/>
        <v>505.41</v>
      </c>
    </row>
    <row r="78" spans="1:19" x14ac:dyDescent="0.25">
      <c r="A78" s="116" t="s">
        <v>1081</v>
      </c>
      <c r="B78" s="116" t="s">
        <v>1082</v>
      </c>
      <c r="C78" s="117">
        <v>39</v>
      </c>
      <c r="D78" s="124" t="s">
        <v>1083</v>
      </c>
      <c r="E78" s="91" t="s">
        <v>19</v>
      </c>
      <c r="F78" s="121">
        <v>41338</v>
      </c>
      <c r="G78" s="118">
        <f>500+38.9+53.99+92.18+47.2+47.2+118.27+116.36+47.2+83.99+47.2+554.6+2400.52+55.46</f>
        <v>4203.0700000000006</v>
      </c>
      <c r="H78" s="72"/>
      <c r="I78" s="120">
        <f>1500</f>
        <v>1500</v>
      </c>
      <c r="J78" s="72"/>
      <c r="K78" s="72"/>
      <c r="L78" s="72"/>
      <c r="M78" s="72"/>
      <c r="N78" s="72"/>
      <c r="O78" s="72"/>
      <c r="P78" s="72"/>
      <c r="Q78" s="63">
        <f t="shared" si="2"/>
        <v>5703.0700000000006</v>
      </c>
      <c r="R78" s="72">
        <f t="shared" si="2"/>
        <v>0</v>
      </c>
      <c r="S78" s="63">
        <f t="shared" si="3"/>
        <v>5703.0700000000006</v>
      </c>
    </row>
    <row r="79" spans="1:19" x14ac:dyDescent="0.25">
      <c r="A79" s="116" t="s">
        <v>1081</v>
      </c>
      <c r="B79" s="116" t="s">
        <v>1082</v>
      </c>
      <c r="C79" s="117">
        <v>39</v>
      </c>
      <c r="D79" s="91" t="s">
        <v>1084</v>
      </c>
      <c r="E79" s="91" t="s">
        <v>19</v>
      </c>
      <c r="F79" s="121">
        <v>41338</v>
      </c>
      <c r="G79" s="118">
        <f>61.5+48.5+47.2+93.83+558+139.96+47.2+16.95+260+117.22</f>
        <v>1390.3600000000001</v>
      </c>
      <c r="H79" s="72"/>
      <c r="I79" s="120">
        <v>875</v>
      </c>
      <c r="J79" s="72"/>
      <c r="K79" s="72"/>
      <c r="L79" s="72"/>
      <c r="M79" s="72"/>
      <c r="N79" s="72"/>
      <c r="O79" s="72"/>
      <c r="P79" s="72"/>
      <c r="Q79" s="63">
        <f t="shared" si="2"/>
        <v>2265.36</v>
      </c>
      <c r="R79" s="72">
        <f t="shared" si="2"/>
        <v>0</v>
      </c>
      <c r="S79" s="63">
        <f t="shared" si="3"/>
        <v>2265.36</v>
      </c>
    </row>
    <row r="80" spans="1:19" x14ac:dyDescent="0.25">
      <c r="A80" s="116" t="s">
        <v>1081</v>
      </c>
      <c r="B80" s="116" t="s">
        <v>1082</v>
      </c>
      <c r="C80" s="117">
        <v>39</v>
      </c>
      <c r="D80" s="91" t="s">
        <v>1085</v>
      </c>
      <c r="E80" s="91" t="s">
        <v>19</v>
      </c>
      <c r="F80" s="121">
        <v>41338</v>
      </c>
      <c r="G80" s="118">
        <f>46.6+47.2+238+94.4+45.56+41.75+17.68+190.62+170</f>
        <v>891.81</v>
      </c>
      <c r="H80" s="72"/>
      <c r="I80" s="120">
        <v>750</v>
      </c>
      <c r="J80" s="72"/>
      <c r="K80" s="72"/>
      <c r="L80" s="72"/>
      <c r="M80" s="72"/>
      <c r="N80" s="72"/>
      <c r="O80" s="72"/>
      <c r="P80" s="72"/>
      <c r="Q80" s="63">
        <f t="shared" si="2"/>
        <v>1641.81</v>
      </c>
      <c r="R80" s="72">
        <f t="shared" si="2"/>
        <v>0</v>
      </c>
      <c r="S80" s="63">
        <f t="shared" si="3"/>
        <v>1641.81</v>
      </c>
    </row>
    <row r="81" spans="1:19" x14ac:dyDescent="0.25">
      <c r="A81" s="116" t="s">
        <v>1086</v>
      </c>
      <c r="B81" s="116" t="s">
        <v>1087</v>
      </c>
      <c r="C81" s="117">
        <v>40</v>
      </c>
      <c r="D81" s="91" t="s">
        <v>1088</v>
      </c>
      <c r="E81" s="91" t="s">
        <v>19</v>
      </c>
      <c r="F81" s="121">
        <v>41340</v>
      </c>
      <c r="G81" s="118">
        <f>43.8</f>
        <v>43.8</v>
      </c>
      <c r="H81" s="72"/>
      <c r="I81" s="73"/>
      <c r="J81" s="72"/>
      <c r="K81" s="72"/>
      <c r="L81" s="72"/>
      <c r="M81" s="72"/>
      <c r="N81" s="72"/>
      <c r="O81" s="72"/>
      <c r="P81" s="72"/>
      <c r="Q81" s="63">
        <f t="shared" si="2"/>
        <v>43.8</v>
      </c>
      <c r="R81" s="72">
        <f t="shared" si="2"/>
        <v>0</v>
      </c>
      <c r="S81" s="63">
        <f t="shared" si="3"/>
        <v>43.8</v>
      </c>
    </row>
    <row r="82" spans="1:19" x14ac:dyDescent="0.25">
      <c r="A82" s="116" t="s">
        <v>1089</v>
      </c>
      <c r="B82" s="116" t="s">
        <v>1090</v>
      </c>
      <c r="C82" s="117">
        <v>41</v>
      </c>
      <c r="D82" s="91" t="s">
        <v>1091</v>
      </c>
      <c r="E82" s="91" t="s">
        <v>19</v>
      </c>
      <c r="F82" s="121">
        <v>41509</v>
      </c>
      <c r="G82" s="118">
        <f>287.9</f>
        <v>287.89999999999998</v>
      </c>
      <c r="H82" s="72"/>
      <c r="I82" s="73"/>
      <c r="J82" s="72"/>
      <c r="K82" s="72"/>
      <c r="L82" s="72"/>
      <c r="M82" s="72"/>
      <c r="N82" s="72"/>
      <c r="O82" s="72"/>
      <c r="P82" s="72"/>
      <c r="Q82" s="63">
        <f t="shared" si="2"/>
        <v>287.89999999999998</v>
      </c>
      <c r="R82" s="72">
        <f t="shared" si="2"/>
        <v>0</v>
      </c>
      <c r="S82" s="63">
        <f t="shared" si="3"/>
        <v>287.89999999999998</v>
      </c>
    </row>
    <row r="83" spans="1:19" x14ac:dyDescent="0.25">
      <c r="A83" s="116" t="s">
        <v>1092</v>
      </c>
      <c r="B83" s="116" t="s">
        <v>1093</v>
      </c>
      <c r="C83" s="117">
        <v>42</v>
      </c>
      <c r="D83" s="91" t="s">
        <v>1094</v>
      </c>
      <c r="E83" s="91" t="s">
        <v>19</v>
      </c>
      <c r="F83" s="121">
        <v>41335</v>
      </c>
      <c r="G83" s="118">
        <f>10395.77+84.09+47.2+131.29+1716.22+84.09+84.09+71.51</f>
        <v>12614.260000000002</v>
      </c>
      <c r="H83" s="72"/>
      <c r="I83" s="120">
        <v>3700</v>
      </c>
      <c r="J83" s="72"/>
      <c r="K83" s="72"/>
      <c r="L83" s="72"/>
      <c r="M83" s="72"/>
      <c r="N83" s="72"/>
      <c r="O83" s="72"/>
      <c r="P83" s="72"/>
      <c r="Q83" s="63">
        <f t="shared" si="2"/>
        <v>16314.260000000002</v>
      </c>
      <c r="R83" s="72">
        <f t="shared" si="2"/>
        <v>0</v>
      </c>
      <c r="S83" s="63">
        <f t="shared" si="3"/>
        <v>16314.260000000002</v>
      </c>
    </row>
    <row r="84" spans="1:19" x14ac:dyDescent="0.25">
      <c r="A84" s="116" t="s">
        <v>1092</v>
      </c>
      <c r="B84" s="116" t="s">
        <v>1093</v>
      </c>
      <c r="C84" s="117">
        <v>42</v>
      </c>
      <c r="D84" s="91" t="s">
        <v>1095</v>
      </c>
      <c r="E84" s="91" t="s">
        <v>19</v>
      </c>
      <c r="F84" s="121">
        <v>41335</v>
      </c>
      <c r="G84" s="118">
        <f>12184.92+238.13+47.2+348.1+2844.51+168.17+73.28+138.92</f>
        <v>16043.230000000001</v>
      </c>
      <c r="H84" s="72"/>
      <c r="I84" s="120">
        <v>3700</v>
      </c>
      <c r="J84" s="72"/>
      <c r="K84" s="72"/>
      <c r="L84" s="72"/>
      <c r="M84" s="72"/>
      <c r="N84" s="72"/>
      <c r="O84" s="72"/>
      <c r="P84" s="72"/>
      <c r="Q84" s="63">
        <f t="shared" si="2"/>
        <v>19743.230000000003</v>
      </c>
      <c r="R84" s="72">
        <f t="shared" si="2"/>
        <v>0</v>
      </c>
      <c r="S84" s="63">
        <f t="shared" si="3"/>
        <v>19743.230000000003</v>
      </c>
    </row>
    <row r="85" spans="1:19" x14ac:dyDescent="0.25">
      <c r="A85" s="116" t="s">
        <v>1092</v>
      </c>
      <c r="B85" s="116" t="s">
        <v>1093</v>
      </c>
      <c r="C85" s="117">
        <v>42</v>
      </c>
      <c r="D85" s="91" t="s">
        <v>1096</v>
      </c>
      <c r="E85" s="91" t="s">
        <v>19</v>
      </c>
      <c r="F85" s="121">
        <v>41335</v>
      </c>
      <c r="G85" s="118">
        <v>137.30000000000001</v>
      </c>
      <c r="H85" s="72"/>
      <c r="I85" s="73"/>
      <c r="J85" s="72"/>
      <c r="K85" s="72"/>
      <c r="L85" s="72"/>
      <c r="M85" s="72"/>
      <c r="N85" s="72"/>
      <c r="O85" s="72"/>
      <c r="P85" s="72"/>
      <c r="Q85" s="63">
        <f t="shared" si="2"/>
        <v>137.30000000000001</v>
      </c>
      <c r="R85" s="72">
        <f t="shared" si="2"/>
        <v>0</v>
      </c>
      <c r="S85" s="63">
        <f t="shared" si="3"/>
        <v>137.30000000000001</v>
      </c>
    </row>
    <row r="86" spans="1:19" x14ac:dyDescent="0.25">
      <c r="A86" s="116" t="s">
        <v>1092</v>
      </c>
      <c r="B86" s="116" t="s">
        <v>1093</v>
      </c>
      <c r="C86" s="117">
        <v>42</v>
      </c>
      <c r="D86" s="91" t="s">
        <v>1097</v>
      </c>
      <c r="E86" s="91" t="s">
        <v>19</v>
      </c>
      <c r="F86" s="121">
        <v>41335</v>
      </c>
      <c r="G86" s="118">
        <f>40.8</f>
        <v>40.799999999999997</v>
      </c>
      <c r="H86" s="72"/>
      <c r="I86" s="73"/>
      <c r="J86" s="72"/>
      <c r="K86" s="72"/>
      <c r="L86" s="72"/>
      <c r="M86" s="72"/>
      <c r="N86" s="72"/>
      <c r="O86" s="72"/>
      <c r="P86" s="72"/>
      <c r="Q86" s="63">
        <f t="shared" si="2"/>
        <v>40.799999999999997</v>
      </c>
      <c r="R86" s="72">
        <f t="shared" si="2"/>
        <v>0</v>
      </c>
      <c r="S86" s="63">
        <f t="shared" si="3"/>
        <v>40.799999999999997</v>
      </c>
    </row>
    <row r="87" spans="1:19" x14ac:dyDescent="0.25">
      <c r="A87" s="116" t="s">
        <v>1098</v>
      </c>
      <c r="B87" s="116" t="s">
        <v>373</v>
      </c>
      <c r="C87" s="117">
        <v>43</v>
      </c>
      <c r="D87" s="91" t="s">
        <v>1099</v>
      </c>
      <c r="E87" s="91" t="s">
        <v>19</v>
      </c>
      <c r="F87" s="121">
        <v>41332</v>
      </c>
      <c r="G87" s="118">
        <f>1200+3491.83+59.66+382.5+47.2+32+75.41</f>
        <v>5288.5999999999995</v>
      </c>
      <c r="H87" s="72"/>
      <c r="I87" s="120">
        <v>3700</v>
      </c>
      <c r="J87" s="72"/>
      <c r="K87" s="72"/>
      <c r="L87" s="72"/>
      <c r="M87" s="72"/>
      <c r="N87" s="72"/>
      <c r="O87" s="72"/>
      <c r="P87" s="72"/>
      <c r="Q87" s="63">
        <f t="shared" si="2"/>
        <v>8988.5999999999985</v>
      </c>
      <c r="R87" s="72">
        <f t="shared" si="2"/>
        <v>0</v>
      </c>
      <c r="S87" s="63">
        <f t="shared" si="3"/>
        <v>8988.5999999999985</v>
      </c>
    </row>
    <row r="88" spans="1:19" x14ac:dyDescent="0.25">
      <c r="A88" s="116" t="s">
        <v>1100</v>
      </c>
      <c r="B88" s="116" t="s">
        <v>1101</v>
      </c>
      <c r="C88" s="117">
        <v>44</v>
      </c>
      <c r="D88" s="91" t="s">
        <v>1102</v>
      </c>
      <c r="E88" s="91" t="s">
        <v>19</v>
      </c>
      <c r="F88" s="121">
        <v>41348</v>
      </c>
      <c r="G88" s="118">
        <f>79.64+41.3+163+41.3</f>
        <v>325.24</v>
      </c>
      <c r="H88" s="72"/>
      <c r="I88" s="72"/>
      <c r="J88" s="72"/>
      <c r="K88" s="72"/>
      <c r="L88" s="72"/>
      <c r="M88" s="72"/>
      <c r="N88" s="72"/>
      <c r="O88" s="72"/>
      <c r="P88" s="72"/>
      <c r="Q88" s="63">
        <f t="shared" si="2"/>
        <v>325.24</v>
      </c>
      <c r="R88" s="72">
        <f t="shared" si="2"/>
        <v>0</v>
      </c>
      <c r="S88" s="63">
        <f t="shared" si="3"/>
        <v>325.24</v>
      </c>
    </row>
    <row r="89" spans="1:19" x14ac:dyDescent="0.25">
      <c r="A89" s="116" t="s">
        <v>1103</v>
      </c>
      <c r="B89" s="116" t="s">
        <v>1104</v>
      </c>
      <c r="C89" s="117">
        <v>45</v>
      </c>
      <c r="D89" s="91" t="s">
        <v>1105</v>
      </c>
      <c r="E89" s="91" t="s">
        <v>19</v>
      </c>
      <c r="F89" s="121">
        <v>41370</v>
      </c>
      <c r="G89" s="118">
        <f>134.95</f>
        <v>134.94999999999999</v>
      </c>
      <c r="H89" s="72"/>
      <c r="I89" s="72"/>
      <c r="J89" s="72"/>
      <c r="K89" s="72"/>
      <c r="L89" s="72"/>
      <c r="M89" s="72"/>
      <c r="N89" s="72"/>
      <c r="O89" s="72"/>
      <c r="P89" s="72"/>
      <c r="Q89" s="63">
        <f t="shared" si="2"/>
        <v>134.94999999999999</v>
      </c>
      <c r="R89" s="72">
        <f t="shared" si="2"/>
        <v>0</v>
      </c>
      <c r="S89" s="63">
        <f t="shared" si="3"/>
        <v>134.94999999999999</v>
      </c>
    </row>
    <row r="90" spans="1:19" x14ac:dyDescent="0.25">
      <c r="A90" s="116" t="s">
        <v>1103</v>
      </c>
      <c r="B90" s="116" t="s">
        <v>1104</v>
      </c>
      <c r="C90" s="117">
        <v>45</v>
      </c>
      <c r="D90" s="91" t="s">
        <v>1106</v>
      </c>
      <c r="E90" s="91" t="s">
        <v>19</v>
      </c>
      <c r="F90" s="121">
        <v>41370</v>
      </c>
      <c r="G90" s="118">
        <f>135.54</f>
        <v>135.54</v>
      </c>
      <c r="H90" s="72"/>
      <c r="I90" s="72"/>
      <c r="J90" s="72"/>
      <c r="K90" s="72"/>
      <c r="L90" s="72"/>
      <c r="M90" s="72"/>
      <c r="N90" s="72"/>
      <c r="O90" s="72"/>
      <c r="P90" s="72"/>
      <c r="Q90" s="63">
        <f t="shared" si="2"/>
        <v>135.54</v>
      </c>
      <c r="R90" s="72">
        <f t="shared" si="2"/>
        <v>0</v>
      </c>
      <c r="S90" s="63">
        <f t="shared" si="3"/>
        <v>135.54</v>
      </c>
    </row>
    <row r="91" spans="1:19" x14ac:dyDescent="0.25">
      <c r="A91" s="116" t="s">
        <v>1103</v>
      </c>
      <c r="B91" s="116" t="s">
        <v>1104</v>
      </c>
      <c r="C91" s="117">
        <v>45</v>
      </c>
      <c r="D91" s="91" t="s">
        <v>1107</v>
      </c>
      <c r="E91" s="91" t="s">
        <v>19</v>
      </c>
      <c r="F91" s="121">
        <v>41370</v>
      </c>
      <c r="G91" s="118">
        <v>124.05</v>
      </c>
      <c r="H91" s="72"/>
      <c r="I91" s="72"/>
      <c r="J91" s="72"/>
      <c r="K91" s="72"/>
      <c r="L91" s="72"/>
      <c r="M91" s="72"/>
      <c r="N91" s="72"/>
      <c r="O91" s="72"/>
      <c r="P91" s="72"/>
      <c r="Q91" s="63">
        <f t="shared" si="2"/>
        <v>124.05</v>
      </c>
      <c r="R91" s="72">
        <f t="shared" si="2"/>
        <v>0</v>
      </c>
      <c r="S91" s="63">
        <f t="shared" si="3"/>
        <v>124.05</v>
      </c>
    </row>
    <row r="92" spans="1:19" x14ac:dyDescent="0.25">
      <c r="A92" s="116" t="s">
        <v>1108</v>
      </c>
      <c r="B92" s="116" t="s">
        <v>1109</v>
      </c>
      <c r="C92" s="117">
        <v>46</v>
      </c>
      <c r="D92" s="91" t="s">
        <v>1110</v>
      </c>
      <c r="E92" s="91" t="s">
        <v>19</v>
      </c>
      <c r="F92" s="121">
        <v>41397</v>
      </c>
      <c r="G92" s="118">
        <f>130.6</f>
        <v>130.6</v>
      </c>
      <c r="H92" s="72"/>
      <c r="I92" s="72"/>
      <c r="J92" s="72"/>
      <c r="K92" s="72"/>
      <c r="L92" s="72"/>
      <c r="M92" s="72"/>
      <c r="N92" s="72"/>
      <c r="O92" s="72"/>
      <c r="P92" s="72"/>
      <c r="Q92" s="63">
        <f t="shared" si="2"/>
        <v>130.6</v>
      </c>
      <c r="R92" s="72">
        <f t="shared" si="2"/>
        <v>0</v>
      </c>
      <c r="S92" s="63">
        <f t="shared" si="3"/>
        <v>130.6</v>
      </c>
    </row>
    <row r="93" spans="1:19" x14ac:dyDescent="0.25">
      <c r="A93" s="116" t="s">
        <v>1111</v>
      </c>
      <c r="B93" s="116" t="s">
        <v>1112</v>
      </c>
      <c r="C93" s="117">
        <v>47</v>
      </c>
      <c r="D93" s="91" t="s">
        <v>1113</v>
      </c>
      <c r="E93" s="91" t="s">
        <v>19</v>
      </c>
      <c r="F93" s="121">
        <v>41460</v>
      </c>
      <c r="G93" s="118">
        <f>50.2</f>
        <v>50.2</v>
      </c>
      <c r="H93" s="72"/>
      <c r="I93" s="72"/>
      <c r="J93" s="72"/>
      <c r="K93" s="72"/>
      <c r="L93" s="72"/>
      <c r="M93" s="72"/>
      <c r="N93" s="72"/>
      <c r="O93" s="72"/>
      <c r="P93" s="72"/>
      <c r="Q93" s="63">
        <f t="shared" si="2"/>
        <v>50.2</v>
      </c>
      <c r="R93" s="72">
        <f t="shared" si="2"/>
        <v>0</v>
      </c>
      <c r="S93" s="63">
        <f t="shared" si="3"/>
        <v>50.2</v>
      </c>
    </row>
    <row r="94" spans="1:19" x14ac:dyDescent="0.25">
      <c r="A94" s="116" t="s">
        <v>1114</v>
      </c>
      <c r="B94" s="116" t="s">
        <v>1115</v>
      </c>
      <c r="C94" s="117">
        <v>48</v>
      </c>
      <c r="D94" s="91" t="s">
        <v>1116</v>
      </c>
      <c r="E94" s="91" t="s">
        <v>19</v>
      </c>
      <c r="F94" s="121">
        <v>41366</v>
      </c>
      <c r="G94" s="118">
        <f>83.3</f>
        <v>83.3</v>
      </c>
      <c r="H94" s="72"/>
      <c r="I94" s="72"/>
      <c r="J94" s="72"/>
      <c r="K94" s="72"/>
      <c r="L94" s="72"/>
      <c r="M94" s="72"/>
      <c r="N94" s="72"/>
      <c r="O94" s="72"/>
      <c r="P94" s="72"/>
      <c r="Q94" s="63">
        <f t="shared" si="2"/>
        <v>83.3</v>
      </c>
      <c r="R94" s="72">
        <f t="shared" si="2"/>
        <v>0</v>
      </c>
      <c r="S94" s="63">
        <f t="shared" si="3"/>
        <v>83.3</v>
      </c>
    </row>
    <row r="95" spans="1:19" x14ac:dyDescent="0.25">
      <c r="A95" s="116" t="s">
        <v>1114</v>
      </c>
      <c r="B95" s="116" t="s">
        <v>1115</v>
      </c>
      <c r="C95" s="117">
        <v>48</v>
      </c>
      <c r="D95" s="91" t="s">
        <v>1117</v>
      </c>
      <c r="E95" s="91" t="s">
        <v>19</v>
      </c>
      <c r="F95" s="121">
        <v>41366</v>
      </c>
      <c r="G95" s="118">
        <f>107.5</f>
        <v>107.5</v>
      </c>
      <c r="H95" s="72"/>
      <c r="I95" s="72"/>
      <c r="J95" s="72"/>
      <c r="K95" s="72"/>
      <c r="L95" s="72"/>
      <c r="M95" s="72"/>
      <c r="N95" s="72"/>
      <c r="O95" s="72"/>
      <c r="P95" s="72"/>
      <c r="Q95" s="63">
        <f t="shared" si="2"/>
        <v>107.5</v>
      </c>
      <c r="R95" s="72">
        <f t="shared" si="2"/>
        <v>0</v>
      </c>
      <c r="S95" s="63">
        <f t="shared" si="3"/>
        <v>107.5</v>
      </c>
    </row>
    <row r="96" spans="1:19" x14ac:dyDescent="0.25">
      <c r="A96" s="116" t="s">
        <v>1118</v>
      </c>
      <c r="B96" s="116" t="s">
        <v>1119</v>
      </c>
      <c r="C96" s="117">
        <v>49</v>
      </c>
      <c r="D96" s="91" t="s">
        <v>1120</v>
      </c>
      <c r="E96" s="91" t="s">
        <v>19</v>
      </c>
      <c r="F96" s="121">
        <v>41397</v>
      </c>
      <c r="G96" s="118">
        <f>170.95</f>
        <v>170.95</v>
      </c>
      <c r="H96" s="72"/>
      <c r="I96" s="72"/>
      <c r="J96" s="72"/>
      <c r="K96" s="72"/>
      <c r="L96" s="72"/>
      <c r="M96" s="72"/>
      <c r="N96" s="72"/>
      <c r="O96" s="72"/>
      <c r="P96" s="72"/>
      <c r="Q96" s="63">
        <f t="shared" si="2"/>
        <v>170.95</v>
      </c>
      <c r="R96" s="72">
        <f t="shared" si="2"/>
        <v>0</v>
      </c>
      <c r="S96" s="63">
        <f t="shared" si="3"/>
        <v>170.95</v>
      </c>
    </row>
    <row r="97" spans="1:19" x14ac:dyDescent="0.25">
      <c r="A97" s="116" t="s">
        <v>1121</v>
      </c>
      <c r="B97" s="116" t="s">
        <v>1122</v>
      </c>
      <c r="C97" s="117">
        <v>50</v>
      </c>
      <c r="D97" s="91" t="s">
        <v>1123</v>
      </c>
      <c r="E97" s="91" t="s">
        <v>19</v>
      </c>
      <c r="F97" s="121">
        <v>41347</v>
      </c>
      <c r="G97" s="118">
        <f>32.1+369.3</f>
        <v>401.40000000000003</v>
      </c>
      <c r="H97" s="72"/>
      <c r="I97" s="120">
        <f>175</f>
        <v>175</v>
      </c>
      <c r="J97" s="72"/>
      <c r="K97" s="72"/>
      <c r="L97" s="72"/>
      <c r="M97" s="72"/>
      <c r="N97" s="72"/>
      <c r="O97" s="72"/>
      <c r="P97" s="72"/>
      <c r="Q97" s="63">
        <f t="shared" si="2"/>
        <v>576.40000000000009</v>
      </c>
      <c r="R97" s="72">
        <f t="shared" si="2"/>
        <v>0</v>
      </c>
      <c r="S97" s="63">
        <f t="shared" si="3"/>
        <v>576.40000000000009</v>
      </c>
    </row>
    <row r="98" spans="1:19" x14ac:dyDescent="0.25">
      <c r="A98" s="116" t="s">
        <v>1124</v>
      </c>
      <c r="B98" s="116" t="s">
        <v>1125</v>
      </c>
      <c r="C98" s="117">
        <v>51</v>
      </c>
      <c r="D98" s="91" t="s">
        <v>1126</v>
      </c>
      <c r="E98" s="91" t="s">
        <v>19</v>
      </c>
      <c r="F98" s="121">
        <v>41325</v>
      </c>
      <c r="G98" s="118">
        <v>153.53</v>
      </c>
      <c r="H98" s="72"/>
      <c r="I98" s="72"/>
      <c r="J98" s="72"/>
      <c r="K98" s="72"/>
      <c r="L98" s="72"/>
      <c r="M98" s="72"/>
      <c r="N98" s="72"/>
      <c r="O98" s="72"/>
      <c r="P98" s="72"/>
      <c r="Q98" s="63">
        <f t="shared" si="2"/>
        <v>153.53</v>
      </c>
      <c r="R98" s="72">
        <f t="shared" si="2"/>
        <v>0</v>
      </c>
      <c r="S98" s="63">
        <f t="shared" si="3"/>
        <v>153.53</v>
      </c>
    </row>
    <row r="99" spans="1:19" x14ac:dyDescent="0.25">
      <c r="A99" s="116" t="s">
        <v>1124</v>
      </c>
      <c r="B99" s="116" t="s">
        <v>1125</v>
      </c>
      <c r="C99" s="117">
        <v>51</v>
      </c>
      <c r="D99" s="91" t="s">
        <v>1127</v>
      </c>
      <c r="E99" s="91" t="s">
        <v>19</v>
      </c>
      <c r="F99" s="121">
        <v>41325</v>
      </c>
      <c r="G99" s="118">
        <v>114.39</v>
      </c>
      <c r="H99" s="72"/>
      <c r="I99" s="72"/>
      <c r="J99" s="72"/>
      <c r="K99" s="72"/>
      <c r="L99" s="72"/>
      <c r="M99" s="72"/>
      <c r="N99" s="72"/>
      <c r="O99" s="72"/>
      <c r="P99" s="72"/>
      <c r="Q99" s="63">
        <f t="shared" si="2"/>
        <v>114.39</v>
      </c>
      <c r="R99" s="72">
        <f t="shared" si="2"/>
        <v>0</v>
      </c>
      <c r="S99" s="63">
        <f t="shared" si="3"/>
        <v>114.39</v>
      </c>
    </row>
    <row r="100" spans="1:19" x14ac:dyDescent="0.25">
      <c r="A100" s="116" t="s">
        <v>1124</v>
      </c>
      <c r="B100" s="116" t="s">
        <v>1125</v>
      </c>
      <c r="C100" s="117">
        <v>51</v>
      </c>
      <c r="D100" s="91" t="s">
        <v>1128</v>
      </c>
      <c r="E100" s="91" t="s">
        <v>19</v>
      </c>
      <c r="F100" s="121">
        <v>41325</v>
      </c>
      <c r="G100" s="118">
        <v>92.67</v>
      </c>
      <c r="H100" s="72"/>
      <c r="I100" s="72"/>
      <c r="J100" s="72"/>
      <c r="K100" s="72"/>
      <c r="L100" s="72"/>
      <c r="M100" s="72"/>
      <c r="N100" s="72"/>
      <c r="O100" s="72"/>
      <c r="P100" s="72"/>
      <c r="Q100" s="63">
        <f t="shared" si="2"/>
        <v>92.67</v>
      </c>
      <c r="R100" s="72">
        <f t="shared" si="2"/>
        <v>0</v>
      </c>
      <c r="S100" s="63">
        <f t="shared" si="3"/>
        <v>92.67</v>
      </c>
    </row>
    <row r="101" spans="1:19" x14ac:dyDescent="0.25">
      <c r="A101" s="116" t="s">
        <v>1124</v>
      </c>
      <c r="B101" s="116" t="s">
        <v>1125</v>
      </c>
      <c r="C101" s="117">
        <v>51</v>
      </c>
      <c r="D101" s="91" t="s">
        <v>1129</v>
      </c>
      <c r="E101" s="91" t="s">
        <v>19</v>
      </c>
      <c r="F101" s="121">
        <v>41325</v>
      </c>
      <c r="G101" s="118">
        <v>170.17</v>
      </c>
      <c r="H101" s="72"/>
      <c r="I101" s="72"/>
      <c r="J101" s="72"/>
      <c r="K101" s="72"/>
      <c r="L101" s="72"/>
      <c r="M101" s="72"/>
      <c r="N101" s="72"/>
      <c r="O101" s="72"/>
      <c r="P101" s="72"/>
      <c r="Q101" s="63">
        <f t="shared" si="2"/>
        <v>170.17</v>
      </c>
      <c r="R101" s="72">
        <f t="shared" si="2"/>
        <v>0</v>
      </c>
      <c r="S101" s="63">
        <f t="shared" si="3"/>
        <v>170.17</v>
      </c>
    </row>
    <row r="102" spans="1:19" x14ac:dyDescent="0.25">
      <c r="A102" s="116" t="s">
        <v>1130</v>
      </c>
      <c r="B102" s="116" t="s">
        <v>1131</v>
      </c>
      <c r="C102" s="117">
        <v>52</v>
      </c>
      <c r="D102" s="91" t="s">
        <v>1132</v>
      </c>
      <c r="E102" s="91" t="s">
        <v>19</v>
      </c>
      <c r="F102" s="121">
        <v>41325</v>
      </c>
      <c r="G102" s="118">
        <v>205.24</v>
      </c>
      <c r="H102" s="72"/>
      <c r="I102" s="72"/>
      <c r="J102" s="72"/>
      <c r="K102" s="72"/>
      <c r="L102" s="72"/>
      <c r="M102" s="72"/>
      <c r="N102" s="72"/>
      <c r="O102" s="72"/>
      <c r="P102" s="72"/>
      <c r="Q102" s="63">
        <f t="shared" si="2"/>
        <v>205.24</v>
      </c>
      <c r="R102" s="72">
        <f t="shared" si="2"/>
        <v>0</v>
      </c>
      <c r="S102" s="63">
        <f t="shared" si="3"/>
        <v>205.24</v>
      </c>
    </row>
    <row r="103" spans="1:19" x14ac:dyDescent="0.25">
      <c r="A103" s="116" t="s">
        <v>1133</v>
      </c>
      <c r="B103" s="116" t="s">
        <v>1134</v>
      </c>
      <c r="C103" s="117">
        <v>53</v>
      </c>
      <c r="D103" s="91" t="s">
        <v>1135</v>
      </c>
      <c r="E103" s="91" t="s">
        <v>19</v>
      </c>
      <c r="F103" s="121">
        <v>41325</v>
      </c>
      <c r="G103" s="118">
        <v>131.63999999999999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63">
        <f t="shared" si="2"/>
        <v>131.63999999999999</v>
      </c>
      <c r="R103" s="72">
        <f t="shared" si="2"/>
        <v>0</v>
      </c>
      <c r="S103" s="63">
        <f t="shared" si="3"/>
        <v>131.63999999999999</v>
      </c>
    </row>
    <row r="104" spans="1:19" x14ac:dyDescent="0.25">
      <c r="A104" s="116" t="s">
        <v>1136</v>
      </c>
      <c r="B104" s="116" t="s">
        <v>1137</v>
      </c>
      <c r="C104" s="117">
        <v>54</v>
      </c>
      <c r="D104" s="91" t="s">
        <v>1138</v>
      </c>
      <c r="E104" s="91" t="s">
        <v>19</v>
      </c>
      <c r="F104" s="121">
        <v>41617</v>
      </c>
      <c r="G104" s="118">
        <f>203.61</f>
        <v>203.61</v>
      </c>
      <c r="H104" s="72"/>
      <c r="I104" s="72"/>
      <c r="J104" s="72"/>
      <c r="K104" s="72"/>
      <c r="L104" s="72"/>
      <c r="M104" s="72"/>
      <c r="N104" s="72"/>
      <c r="O104" s="72"/>
      <c r="P104" s="72"/>
      <c r="Q104" s="63">
        <f t="shared" si="2"/>
        <v>203.61</v>
      </c>
      <c r="R104" s="72">
        <f t="shared" si="2"/>
        <v>0</v>
      </c>
      <c r="S104" s="63">
        <f t="shared" si="3"/>
        <v>203.61</v>
      </c>
    </row>
    <row r="105" spans="1:19" x14ac:dyDescent="0.25">
      <c r="A105" s="116" t="s">
        <v>1139</v>
      </c>
      <c r="B105" s="116" t="s">
        <v>1140</v>
      </c>
      <c r="C105" s="117">
        <v>55</v>
      </c>
      <c r="D105" s="91" t="s">
        <v>1141</v>
      </c>
      <c r="E105" s="91" t="s">
        <v>19</v>
      </c>
      <c r="F105" s="121">
        <v>41446</v>
      </c>
      <c r="G105" s="118">
        <f>215.29</f>
        <v>215.29</v>
      </c>
      <c r="H105" s="72"/>
      <c r="I105" s="72"/>
      <c r="J105" s="72"/>
      <c r="K105" s="72"/>
      <c r="L105" s="72"/>
      <c r="M105" s="72"/>
      <c r="N105" s="72"/>
      <c r="O105" s="72"/>
      <c r="P105" s="72"/>
      <c r="Q105" s="63">
        <f t="shared" si="2"/>
        <v>215.29</v>
      </c>
      <c r="R105" s="72">
        <f t="shared" si="2"/>
        <v>0</v>
      </c>
      <c r="S105" s="63">
        <f t="shared" si="3"/>
        <v>215.29</v>
      </c>
    </row>
    <row r="106" spans="1:19" x14ac:dyDescent="0.25">
      <c r="A106" s="116" t="s">
        <v>1142</v>
      </c>
      <c r="B106" s="116" t="s">
        <v>1143</v>
      </c>
      <c r="C106" s="117">
        <v>56</v>
      </c>
      <c r="D106" s="91" t="s">
        <v>1144</v>
      </c>
      <c r="E106" s="91" t="s">
        <v>19</v>
      </c>
      <c r="F106" s="121">
        <v>41340</v>
      </c>
      <c r="G106" s="118">
        <f>47.16+185+19.4+445.7+70+185</f>
        <v>952.26</v>
      </c>
      <c r="H106" s="72"/>
      <c r="I106" s="120">
        <v>175</v>
      </c>
      <c r="J106" s="72"/>
      <c r="K106" s="72"/>
      <c r="L106" s="72"/>
      <c r="M106" s="72"/>
      <c r="N106" s="72"/>
      <c r="O106" s="72"/>
      <c r="P106" s="72"/>
      <c r="Q106" s="63">
        <f t="shared" si="2"/>
        <v>1127.26</v>
      </c>
      <c r="R106" s="72">
        <f t="shared" si="2"/>
        <v>0</v>
      </c>
      <c r="S106" s="63">
        <f t="shared" si="3"/>
        <v>1127.26</v>
      </c>
    </row>
    <row r="107" spans="1:19" x14ac:dyDescent="0.25">
      <c r="A107" s="116" t="s">
        <v>1145</v>
      </c>
      <c r="B107" s="116" t="s">
        <v>1146</v>
      </c>
      <c r="C107" s="117">
        <v>57</v>
      </c>
      <c r="D107" s="91" t="s">
        <v>1147</v>
      </c>
      <c r="E107" s="91" t="s">
        <v>19</v>
      </c>
      <c r="F107" s="121">
        <v>41373</v>
      </c>
      <c r="G107" s="118">
        <f>156.65</f>
        <v>156.65</v>
      </c>
      <c r="H107" s="72"/>
      <c r="I107" s="72"/>
      <c r="J107" s="72"/>
      <c r="K107" s="72"/>
      <c r="L107" s="72"/>
      <c r="M107" s="72"/>
      <c r="N107" s="72"/>
      <c r="O107" s="72"/>
      <c r="P107" s="72"/>
      <c r="Q107" s="63">
        <f t="shared" si="2"/>
        <v>156.65</v>
      </c>
      <c r="R107" s="72">
        <f t="shared" si="2"/>
        <v>0</v>
      </c>
      <c r="S107" s="63">
        <f t="shared" si="3"/>
        <v>156.65</v>
      </c>
    </row>
    <row r="108" spans="1:19" x14ac:dyDescent="0.25">
      <c r="A108" s="116" t="s">
        <v>1148</v>
      </c>
      <c r="B108" s="116" t="s">
        <v>1149</v>
      </c>
      <c r="C108" s="117">
        <v>58</v>
      </c>
      <c r="D108" s="91" t="s">
        <v>1150</v>
      </c>
      <c r="E108" s="91" t="s">
        <v>19</v>
      </c>
      <c r="F108" s="121">
        <v>41479</v>
      </c>
      <c r="G108" s="118">
        <f>244.61</f>
        <v>244.61</v>
      </c>
      <c r="H108" s="72"/>
      <c r="I108" s="72"/>
      <c r="J108" s="72"/>
      <c r="K108" s="72"/>
      <c r="L108" s="72"/>
      <c r="M108" s="72"/>
      <c r="N108" s="72"/>
      <c r="O108" s="72"/>
      <c r="P108" s="72"/>
      <c r="Q108" s="63">
        <f t="shared" si="2"/>
        <v>244.61</v>
      </c>
      <c r="R108" s="72">
        <f t="shared" si="2"/>
        <v>0</v>
      </c>
      <c r="S108" s="63">
        <f t="shared" si="3"/>
        <v>244.61</v>
      </c>
    </row>
    <row r="109" spans="1:19" x14ac:dyDescent="0.25">
      <c r="A109" s="116" t="s">
        <v>1151</v>
      </c>
      <c r="B109" s="116" t="s">
        <v>1152</v>
      </c>
      <c r="C109" s="117">
        <v>59</v>
      </c>
      <c r="D109" s="91" t="s">
        <v>1153</v>
      </c>
      <c r="E109" s="91" t="s">
        <v>19</v>
      </c>
      <c r="F109" s="121">
        <v>41397</v>
      </c>
      <c r="G109" s="118">
        <f>189.58</f>
        <v>189.58</v>
      </c>
      <c r="H109" s="72"/>
      <c r="I109" s="72"/>
      <c r="J109" s="72"/>
      <c r="K109" s="72"/>
      <c r="L109" s="72"/>
      <c r="M109" s="72"/>
      <c r="N109" s="72"/>
      <c r="O109" s="72"/>
      <c r="P109" s="72"/>
      <c r="Q109" s="63">
        <f t="shared" si="2"/>
        <v>189.58</v>
      </c>
      <c r="R109" s="72">
        <f t="shared" si="2"/>
        <v>0</v>
      </c>
      <c r="S109" s="63">
        <f t="shared" si="3"/>
        <v>189.58</v>
      </c>
    </row>
    <row r="110" spans="1:19" x14ac:dyDescent="0.25">
      <c r="A110" s="116" t="s">
        <v>1154</v>
      </c>
      <c r="B110" s="116" t="s">
        <v>1155</v>
      </c>
      <c r="C110" s="117">
        <v>60</v>
      </c>
      <c r="D110" s="91" t="s">
        <v>1156</v>
      </c>
      <c r="E110" s="91" t="s">
        <v>19</v>
      </c>
      <c r="F110" s="121">
        <v>41373</v>
      </c>
      <c r="G110" s="118">
        <f>111.75</f>
        <v>111.75</v>
      </c>
      <c r="H110" s="72"/>
      <c r="I110" s="72"/>
      <c r="J110" s="72"/>
      <c r="K110" s="72"/>
      <c r="L110" s="72"/>
      <c r="M110" s="72"/>
      <c r="N110" s="72"/>
      <c r="O110" s="72"/>
      <c r="P110" s="72"/>
      <c r="Q110" s="63">
        <f t="shared" si="2"/>
        <v>111.75</v>
      </c>
      <c r="R110" s="72">
        <f t="shared" si="2"/>
        <v>0</v>
      </c>
      <c r="S110" s="63">
        <f t="shared" si="3"/>
        <v>111.75</v>
      </c>
    </row>
    <row r="111" spans="1:19" x14ac:dyDescent="0.25">
      <c r="A111" s="116" t="s">
        <v>1157</v>
      </c>
      <c r="B111" s="116" t="s">
        <v>1158</v>
      </c>
      <c r="C111" s="117">
        <v>61</v>
      </c>
      <c r="D111" s="91" t="s">
        <v>1159</v>
      </c>
      <c r="E111" s="91" t="s">
        <v>19</v>
      </c>
      <c r="F111" s="121">
        <v>41356</v>
      </c>
      <c r="G111" s="118">
        <f>463+50.91+90+34.75+2226.6+539</f>
        <v>3404.2599999999998</v>
      </c>
      <c r="H111" s="72"/>
      <c r="I111" s="120">
        <f>2250+1450</f>
        <v>3700</v>
      </c>
      <c r="J111" s="72"/>
      <c r="K111" s="72"/>
      <c r="L111" s="72"/>
      <c r="M111" s="72"/>
      <c r="N111" s="72"/>
      <c r="O111" s="72"/>
      <c r="P111" s="72"/>
      <c r="Q111" s="63">
        <f t="shared" si="2"/>
        <v>7104.26</v>
      </c>
      <c r="R111" s="72">
        <f t="shared" si="2"/>
        <v>0</v>
      </c>
      <c r="S111" s="63">
        <f t="shared" si="3"/>
        <v>7104.26</v>
      </c>
    </row>
    <row r="112" spans="1:19" x14ac:dyDescent="0.25">
      <c r="A112" s="116" t="s">
        <v>1160</v>
      </c>
      <c r="B112" s="116" t="s">
        <v>1161</v>
      </c>
      <c r="C112" s="117">
        <v>62</v>
      </c>
      <c r="D112" s="91" t="s">
        <v>1162</v>
      </c>
      <c r="E112" s="91" t="s">
        <v>19</v>
      </c>
      <c r="F112" s="121">
        <v>41353</v>
      </c>
      <c r="G112" s="118">
        <f>830+320+96.17+18.06+343.3+47.2+3320.31+77.56+77.56+47.2+77.56+77.56</f>
        <v>5332.4800000000014</v>
      </c>
      <c r="H112" s="72"/>
      <c r="I112" s="120">
        <v>3700</v>
      </c>
      <c r="J112" s="72"/>
      <c r="K112" s="72"/>
      <c r="L112" s="72"/>
      <c r="M112" s="72"/>
      <c r="N112" s="72"/>
      <c r="O112" s="72"/>
      <c r="P112" s="72"/>
      <c r="Q112" s="63">
        <f t="shared" si="2"/>
        <v>9032.4800000000014</v>
      </c>
      <c r="R112" s="72">
        <f t="shared" si="2"/>
        <v>0</v>
      </c>
      <c r="S112" s="63">
        <f t="shared" si="3"/>
        <v>9032.4800000000014</v>
      </c>
    </row>
    <row r="113" spans="1:19" x14ac:dyDescent="0.25">
      <c r="A113" s="116" t="s">
        <v>1163</v>
      </c>
      <c r="B113" s="116" t="s">
        <v>1164</v>
      </c>
      <c r="C113" s="117">
        <v>63</v>
      </c>
      <c r="D113" s="91" t="s">
        <v>1165</v>
      </c>
      <c r="E113" s="91" t="s">
        <v>19</v>
      </c>
      <c r="F113" s="121">
        <v>41340</v>
      </c>
      <c r="G113" s="118">
        <f>213.9</f>
        <v>213.9</v>
      </c>
      <c r="H113" s="72"/>
      <c r="I113" s="73"/>
      <c r="J113" s="72"/>
      <c r="K113" s="72"/>
      <c r="L113" s="72"/>
      <c r="M113" s="72"/>
      <c r="N113" s="72"/>
      <c r="O113" s="72"/>
      <c r="P113" s="72"/>
      <c r="Q113" s="63">
        <f t="shared" si="2"/>
        <v>213.9</v>
      </c>
      <c r="R113" s="72">
        <f t="shared" si="2"/>
        <v>0</v>
      </c>
      <c r="S113" s="63">
        <f t="shared" si="3"/>
        <v>213.9</v>
      </c>
    </row>
    <row r="114" spans="1:19" x14ac:dyDescent="0.25">
      <c r="A114" s="116" t="s">
        <v>1166</v>
      </c>
      <c r="B114" s="116" t="s">
        <v>1167</v>
      </c>
      <c r="C114" s="117">
        <v>64</v>
      </c>
      <c r="D114" s="91" t="s">
        <v>1168</v>
      </c>
      <c r="E114" s="91" t="s">
        <v>19</v>
      </c>
      <c r="F114" s="121">
        <v>41370</v>
      </c>
      <c r="G114" s="118">
        <f>106.5</f>
        <v>106.5</v>
      </c>
      <c r="H114" s="72"/>
      <c r="I114" s="73"/>
      <c r="J114" s="72"/>
      <c r="K114" s="72"/>
      <c r="L114" s="72"/>
      <c r="M114" s="72"/>
      <c r="N114" s="72"/>
      <c r="O114" s="72"/>
      <c r="P114" s="72"/>
      <c r="Q114" s="63">
        <f t="shared" si="2"/>
        <v>106.5</v>
      </c>
      <c r="R114" s="72">
        <f t="shared" si="2"/>
        <v>0</v>
      </c>
      <c r="S114" s="63">
        <f t="shared" si="3"/>
        <v>106.5</v>
      </c>
    </row>
    <row r="115" spans="1:19" x14ac:dyDescent="0.25">
      <c r="A115" s="116" t="s">
        <v>1169</v>
      </c>
      <c r="B115" s="116" t="s">
        <v>1170</v>
      </c>
      <c r="C115" s="117">
        <v>65</v>
      </c>
      <c r="D115" s="91" t="s">
        <v>1171</v>
      </c>
      <c r="E115" s="91" t="s">
        <v>19</v>
      </c>
      <c r="F115" s="121">
        <v>41340</v>
      </c>
      <c r="G115" s="118">
        <f>84.8</f>
        <v>84.8</v>
      </c>
      <c r="H115" s="72"/>
      <c r="I115" s="73"/>
      <c r="J115" s="72"/>
      <c r="K115" s="72"/>
      <c r="L115" s="72"/>
      <c r="M115" s="72"/>
      <c r="N115" s="72"/>
      <c r="O115" s="72"/>
      <c r="P115" s="72"/>
      <c r="Q115" s="63">
        <f t="shared" si="2"/>
        <v>84.8</v>
      </c>
      <c r="R115" s="72">
        <f t="shared" si="2"/>
        <v>0</v>
      </c>
      <c r="S115" s="63">
        <f t="shared" si="3"/>
        <v>84.8</v>
      </c>
    </row>
    <row r="116" spans="1:19" x14ac:dyDescent="0.25">
      <c r="A116" s="116" t="s">
        <v>1172</v>
      </c>
      <c r="B116" s="116" t="s">
        <v>1173</v>
      </c>
      <c r="C116" s="117">
        <v>66</v>
      </c>
      <c r="D116" s="91" t="s">
        <v>1174</v>
      </c>
      <c r="E116" s="91" t="s">
        <v>19</v>
      </c>
      <c r="F116" s="121">
        <v>41346</v>
      </c>
      <c r="G116" s="118">
        <f>86+108.01+127.3+64.9+554.6+554.6+64.9</f>
        <v>1560.3100000000002</v>
      </c>
      <c r="H116" s="72"/>
      <c r="I116" s="120">
        <f>750+750+750</f>
        <v>2250</v>
      </c>
      <c r="J116" s="72"/>
      <c r="K116" s="72"/>
      <c r="L116" s="72"/>
      <c r="M116" s="72"/>
      <c r="N116" s="72"/>
      <c r="O116" s="72"/>
      <c r="P116" s="72"/>
      <c r="Q116" s="63">
        <f t="shared" si="2"/>
        <v>3810.3100000000004</v>
      </c>
      <c r="R116" s="72">
        <f t="shared" si="2"/>
        <v>0</v>
      </c>
      <c r="S116" s="63">
        <f t="shared" si="3"/>
        <v>3810.3100000000004</v>
      </c>
    </row>
    <row r="117" spans="1:19" x14ac:dyDescent="0.25">
      <c r="A117" s="116" t="s">
        <v>1175</v>
      </c>
      <c r="B117" s="116" t="s">
        <v>1176</v>
      </c>
      <c r="C117" s="117">
        <v>67</v>
      </c>
      <c r="D117" s="91" t="s">
        <v>1177</v>
      </c>
      <c r="E117" s="91" t="s">
        <v>19</v>
      </c>
      <c r="F117" s="121">
        <v>41365</v>
      </c>
      <c r="G117" s="118">
        <f>238+369.1</f>
        <v>607.1</v>
      </c>
      <c r="H117" s="72"/>
      <c r="I117" s="72"/>
      <c r="J117" s="72"/>
      <c r="K117" s="72"/>
      <c r="L117" s="72"/>
      <c r="M117" s="72"/>
      <c r="N117" s="72"/>
      <c r="O117" s="72"/>
      <c r="P117" s="72"/>
      <c r="Q117" s="63">
        <f t="shared" si="2"/>
        <v>607.1</v>
      </c>
      <c r="R117" s="72">
        <f t="shared" si="2"/>
        <v>0</v>
      </c>
      <c r="S117" s="63">
        <f t="shared" si="3"/>
        <v>607.1</v>
      </c>
    </row>
    <row r="118" spans="1:19" x14ac:dyDescent="0.25">
      <c r="A118" s="116" t="s">
        <v>1178</v>
      </c>
      <c r="B118" s="116" t="s">
        <v>1179</v>
      </c>
      <c r="C118" s="117">
        <v>68</v>
      </c>
      <c r="D118" s="91" t="s">
        <v>1180</v>
      </c>
      <c r="E118" s="91" t="s">
        <v>19</v>
      </c>
      <c r="F118" s="121">
        <v>41340</v>
      </c>
      <c r="G118" s="118">
        <f>75</f>
        <v>75</v>
      </c>
      <c r="H118" s="72"/>
      <c r="I118" s="72"/>
      <c r="J118" s="72"/>
      <c r="K118" s="72"/>
      <c r="L118" s="72"/>
      <c r="M118" s="72"/>
      <c r="N118" s="72"/>
      <c r="O118" s="72"/>
      <c r="P118" s="72"/>
      <c r="Q118" s="63">
        <f t="shared" si="2"/>
        <v>75</v>
      </c>
      <c r="R118" s="72">
        <f t="shared" si="2"/>
        <v>0</v>
      </c>
      <c r="S118" s="63">
        <f t="shared" si="3"/>
        <v>75</v>
      </c>
    </row>
    <row r="119" spans="1:19" x14ac:dyDescent="0.25">
      <c r="A119" s="116" t="s">
        <v>1178</v>
      </c>
      <c r="B119" s="116" t="s">
        <v>1179</v>
      </c>
      <c r="C119" s="117">
        <v>68</v>
      </c>
      <c r="D119" s="91" t="s">
        <v>1181</v>
      </c>
      <c r="E119" s="91" t="s">
        <v>19</v>
      </c>
      <c r="F119" s="121">
        <v>41340</v>
      </c>
      <c r="G119" s="118">
        <f>48.5</f>
        <v>48.5</v>
      </c>
      <c r="H119" s="72"/>
      <c r="I119" s="72"/>
      <c r="J119" s="72"/>
      <c r="K119" s="72"/>
      <c r="L119" s="72"/>
      <c r="M119" s="72"/>
      <c r="N119" s="72"/>
      <c r="O119" s="72"/>
      <c r="P119" s="72"/>
      <c r="Q119" s="63">
        <f t="shared" si="2"/>
        <v>48.5</v>
      </c>
      <c r="R119" s="72">
        <f t="shared" si="2"/>
        <v>0</v>
      </c>
      <c r="S119" s="63">
        <f t="shared" si="3"/>
        <v>48.5</v>
      </c>
    </row>
    <row r="120" spans="1:19" x14ac:dyDescent="0.25">
      <c r="A120" s="116" t="s">
        <v>1178</v>
      </c>
      <c r="B120" s="116" t="s">
        <v>1179</v>
      </c>
      <c r="C120" s="117">
        <v>68</v>
      </c>
      <c r="D120" s="91" t="s">
        <v>1182</v>
      </c>
      <c r="E120" s="91" t="s">
        <v>19</v>
      </c>
      <c r="F120" s="121">
        <v>41340</v>
      </c>
      <c r="G120" s="118">
        <f>85.6</f>
        <v>85.6</v>
      </c>
      <c r="H120" s="72"/>
      <c r="I120" s="72"/>
      <c r="J120" s="72"/>
      <c r="K120" s="72"/>
      <c r="L120" s="72"/>
      <c r="M120" s="72"/>
      <c r="N120" s="72"/>
      <c r="O120" s="72"/>
      <c r="P120" s="72"/>
      <c r="Q120" s="63">
        <f t="shared" si="2"/>
        <v>85.6</v>
      </c>
      <c r="R120" s="72">
        <f t="shared" si="2"/>
        <v>0</v>
      </c>
      <c r="S120" s="63">
        <f t="shared" si="3"/>
        <v>85.6</v>
      </c>
    </row>
    <row r="121" spans="1:19" x14ac:dyDescent="0.25">
      <c r="A121" s="116" t="s">
        <v>1178</v>
      </c>
      <c r="B121" s="116" t="s">
        <v>1179</v>
      </c>
      <c r="C121" s="117">
        <v>68</v>
      </c>
      <c r="D121" s="91" t="s">
        <v>1183</v>
      </c>
      <c r="E121" s="91" t="s">
        <v>19</v>
      </c>
      <c r="F121" s="121">
        <v>41340</v>
      </c>
      <c r="G121" s="118"/>
      <c r="H121" s="72"/>
      <c r="I121" s="72"/>
      <c r="J121" s="72"/>
      <c r="K121" s="72"/>
      <c r="L121" s="72"/>
      <c r="M121" s="72"/>
      <c r="N121" s="72"/>
      <c r="O121" s="72"/>
      <c r="P121" s="72"/>
      <c r="Q121" s="63">
        <f t="shared" si="2"/>
        <v>0</v>
      </c>
      <c r="R121" s="72">
        <f t="shared" si="2"/>
        <v>0</v>
      </c>
      <c r="S121" s="63">
        <f t="shared" si="3"/>
        <v>0</v>
      </c>
    </row>
    <row r="122" spans="1:19" x14ac:dyDescent="0.25">
      <c r="A122" s="116" t="s">
        <v>1184</v>
      </c>
      <c r="B122" s="116" t="s">
        <v>1185</v>
      </c>
      <c r="C122" s="117">
        <v>69</v>
      </c>
      <c r="D122" s="91" t="s">
        <v>1186</v>
      </c>
      <c r="E122" s="91" t="s">
        <v>19</v>
      </c>
      <c r="F122" s="121">
        <v>41365</v>
      </c>
      <c r="G122" s="118">
        <f>238+3436.6+10975</f>
        <v>14649.6</v>
      </c>
      <c r="H122" s="72"/>
      <c r="I122" s="72"/>
      <c r="J122" s="72"/>
      <c r="K122" s="72"/>
      <c r="L122" s="72"/>
      <c r="M122" s="72"/>
      <c r="N122" s="72"/>
      <c r="O122" s="72"/>
      <c r="P122" s="72"/>
      <c r="Q122" s="63">
        <f t="shared" si="2"/>
        <v>14649.6</v>
      </c>
      <c r="R122" s="72">
        <f t="shared" si="2"/>
        <v>0</v>
      </c>
      <c r="S122" s="63">
        <f t="shared" si="3"/>
        <v>14649.6</v>
      </c>
    </row>
    <row r="123" spans="1:19" x14ac:dyDescent="0.25">
      <c r="A123" s="116" t="s">
        <v>1187</v>
      </c>
      <c r="B123" s="116" t="s">
        <v>1188</v>
      </c>
      <c r="C123" s="117">
        <v>70</v>
      </c>
      <c r="D123" s="91" t="s">
        <v>1189</v>
      </c>
      <c r="E123" s="91" t="s">
        <v>19</v>
      </c>
      <c r="F123" s="121">
        <v>41379</v>
      </c>
      <c r="G123" s="118">
        <f>35+502.83+774.3</f>
        <v>1312.1299999999999</v>
      </c>
      <c r="H123" s="72"/>
      <c r="I123" s="120">
        <v>575</v>
      </c>
      <c r="J123" s="72"/>
      <c r="K123" s="72"/>
      <c r="L123" s="72"/>
      <c r="M123" s="72"/>
      <c r="N123" s="72"/>
      <c r="O123" s="72"/>
      <c r="P123" s="72"/>
      <c r="Q123" s="63">
        <f t="shared" si="2"/>
        <v>1887.1299999999999</v>
      </c>
      <c r="R123" s="72">
        <f t="shared" si="2"/>
        <v>0</v>
      </c>
      <c r="S123" s="63">
        <f t="shared" si="3"/>
        <v>1887.1299999999999</v>
      </c>
    </row>
    <row r="124" spans="1:19" x14ac:dyDescent="0.25">
      <c r="A124" s="116" t="s">
        <v>1190</v>
      </c>
      <c r="B124" s="116" t="s">
        <v>1191</v>
      </c>
      <c r="C124" s="117">
        <v>71</v>
      </c>
      <c r="D124" s="91" t="s">
        <v>1192</v>
      </c>
      <c r="E124" s="91" t="s">
        <v>19</v>
      </c>
      <c r="F124" s="121">
        <v>41365</v>
      </c>
      <c r="G124" s="118">
        <f>238+208.08+17.08+54.48+47.2+26.7+47.2+558+19.12+47.2+335</f>
        <v>1598.0600000000002</v>
      </c>
      <c r="H124" s="72"/>
      <c r="I124" s="120">
        <f>750+750</f>
        <v>1500</v>
      </c>
      <c r="J124" s="72"/>
      <c r="K124" s="72"/>
      <c r="L124" s="72"/>
      <c r="M124" s="72"/>
      <c r="N124" s="72"/>
      <c r="O124" s="72"/>
      <c r="P124" s="72"/>
      <c r="Q124" s="63">
        <f t="shared" si="2"/>
        <v>3098.0600000000004</v>
      </c>
      <c r="R124" s="72">
        <f t="shared" si="2"/>
        <v>0</v>
      </c>
      <c r="S124" s="63">
        <f t="shared" si="3"/>
        <v>3098.0600000000004</v>
      </c>
    </row>
    <row r="125" spans="1:19" x14ac:dyDescent="0.25">
      <c r="A125" s="116" t="s">
        <v>1193</v>
      </c>
      <c r="B125" s="116" t="s">
        <v>1194</v>
      </c>
      <c r="C125" s="117">
        <v>72</v>
      </c>
      <c r="D125" s="91" t="s">
        <v>1195</v>
      </c>
      <c r="E125" s="91" t="s">
        <v>19</v>
      </c>
      <c r="F125" s="121">
        <v>41333</v>
      </c>
      <c r="G125" s="118">
        <v>319.89999999999998</v>
      </c>
      <c r="H125" s="72"/>
      <c r="I125" s="73"/>
      <c r="J125" s="72"/>
      <c r="K125" s="72"/>
      <c r="L125" s="72"/>
      <c r="M125" s="72"/>
      <c r="N125" s="72"/>
      <c r="O125" s="72"/>
      <c r="P125" s="72"/>
      <c r="Q125" s="63">
        <f t="shared" si="2"/>
        <v>319.89999999999998</v>
      </c>
      <c r="R125" s="72">
        <f t="shared" si="2"/>
        <v>0</v>
      </c>
      <c r="S125" s="63">
        <f t="shared" si="3"/>
        <v>319.89999999999998</v>
      </c>
    </row>
    <row r="126" spans="1:19" x14ac:dyDescent="0.25">
      <c r="A126" s="116" t="s">
        <v>1196</v>
      </c>
      <c r="B126" s="116" t="s">
        <v>1197</v>
      </c>
      <c r="C126" s="117">
        <v>73</v>
      </c>
      <c r="D126" s="91" t="s">
        <v>1198</v>
      </c>
      <c r="E126" s="91" t="s">
        <v>19</v>
      </c>
      <c r="F126" s="121">
        <v>41333</v>
      </c>
      <c r="G126" s="118">
        <v>35</v>
      </c>
      <c r="H126" s="72"/>
      <c r="I126" s="73"/>
      <c r="J126" s="72"/>
      <c r="K126" s="72"/>
      <c r="L126" s="72"/>
      <c r="M126" s="72"/>
      <c r="N126" s="72"/>
      <c r="O126" s="72"/>
      <c r="P126" s="72"/>
      <c r="Q126" s="63">
        <f t="shared" si="2"/>
        <v>35</v>
      </c>
      <c r="R126" s="72">
        <f t="shared" si="2"/>
        <v>0</v>
      </c>
      <c r="S126" s="63">
        <f t="shared" si="3"/>
        <v>35</v>
      </c>
    </row>
    <row r="127" spans="1:19" x14ac:dyDescent="0.25">
      <c r="A127" s="116" t="s">
        <v>1199</v>
      </c>
      <c r="B127" s="116" t="s">
        <v>1200</v>
      </c>
      <c r="C127" s="117">
        <v>74</v>
      </c>
      <c r="D127" s="91" t="s">
        <v>1201</v>
      </c>
      <c r="E127" s="91" t="s">
        <v>19</v>
      </c>
      <c r="F127" s="121">
        <v>41365</v>
      </c>
      <c r="G127" s="118">
        <f>540+238+238+238+461.82+105+1229.6+35+35</f>
        <v>3120.42</v>
      </c>
      <c r="H127" s="72"/>
      <c r="I127" s="120">
        <f>750</f>
        <v>750</v>
      </c>
      <c r="J127" s="72"/>
      <c r="K127" s="72"/>
      <c r="L127" s="72"/>
      <c r="M127" s="72"/>
      <c r="N127" s="72"/>
      <c r="O127" s="72"/>
      <c r="P127" s="72"/>
      <c r="Q127" s="63">
        <f t="shared" si="2"/>
        <v>3870.42</v>
      </c>
      <c r="R127" s="72">
        <f t="shared" si="2"/>
        <v>0</v>
      </c>
      <c r="S127" s="63">
        <f t="shared" si="3"/>
        <v>3870.42</v>
      </c>
    </row>
    <row r="128" spans="1:19" x14ac:dyDescent="0.25">
      <c r="A128" s="116" t="s">
        <v>1202</v>
      </c>
      <c r="B128" s="116" t="s">
        <v>1203</v>
      </c>
      <c r="C128" s="117">
        <v>75</v>
      </c>
      <c r="D128" s="91" t="s">
        <v>1204</v>
      </c>
      <c r="E128" s="91" t="s">
        <v>19</v>
      </c>
      <c r="F128" s="121">
        <v>41372</v>
      </c>
      <c r="G128" s="118">
        <v>4032.5</v>
      </c>
      <c r="H128" s="72"/>
      <c r="I128" s="120">
        <f>750+500+750+750+550</f>
        <v>3300</v>
      </c>
      <c r="J128" s="72"/>
      <c r="K128" s="72"/>
      <c r="L128" s="72"/>
      <c r="M128" s="72"/>
      <c r="N128" s="72"/>
      <c r="O128" s="72"/>
      <c r="P128" s="72"/>
      <c r="Q128" s="63">
        <f t="shared" si="2"/>
        <v>7332.5</v>
      </c>
      <c r="R128" s="72">
        <f t="shared" si="2"/>
        <v>0</v>
      </c>
      <c r="S128" s="63">
        <f t="shared" si="3"/>
        <v>7332.5</v>
      </c>
    </row>
    <row r="129" spans="1:19" x14ac:dyDescent="0.25">
      <c r="A129" s="116" t="s">
        <v>1205</v>
      </c>
      <c r="B129" s="116" t="s">
        <v>1206</v>
      </c>
      <c r="C129" s="117">
        <v>76</v>
      </c>
      <c r="D129" s="91" t="s">
        <v>1207</v>
      </c>
      <c r="E129" s="91" t="s">
        <v>19</v>
      </c>
      <c r="F129" s="121">
        <v>41356</v>
      </c>
      <c r="G129" s="118">
        <f>96.19+47.2+572.85</f>
        <v>716.24</v>
      </c>
      <c r="H129" s="72"/>
      <c r="I129" s="120">
        <v>500</v>
      </c>
      <c r="J129" s="72"/>
      <c r="K129" s="72"/>
      <c r="L129" s="72"/>
      <c r="M129" s="72"/>
      <c r="N129" s="72"/>
      <c r="O129" s="72"/>
      <c r="P129" s="72"/>
      <c r="Q129" s="63">
        <f t="shared" si="2"/>
        <v>1216.24</v>
      </c>
      <c r="R129" s="72">
        <f t="shared" si="2"/>
        <v>0</v>
      </c>
      <c r="S129" s="63">
        <f t="shared" si="3"/>
        <v>1216.24</v>
      </c>
    </row>
    <row r="130" spans="1:19" x14ac:dyDescent="0.25">
      <c r="A130" s="116" t="s">
        <v>1208</v>
      </c>
      <c r="B130" s="116" t="s">
        <v>1209</v>
      </c>
      <c r="C130" s="117">
        <v>77</v>
      </c>
      <c r="D130" s="91" t="s">
        <v>1210</v>
      </c>
      <c r="E130" s="91" t="s">
        <v>19</v>
      </c>
      <c r="F130" s="121">
        <v>41397</v>
      </c>
      <c r="G130" s="118">
        <f>88.03+659.03</f>
        <v>747.06</v>
      </c>
      <c r="H130" s="72"/>
      <c r="I130" s="72"/>
      <c r="J130" s="72"/>
      <c r="K130" s="72"/>
      <c r="L130" s="72"/>
      <c r="M130" s="72"/>
      <c r="N130" s="72"/>
      <c r="O130" s="72"/>
      <c r="P130" s="72"/>
      <c r="Q130" s="63">
        <f t="shared" si="2"/>
        <v>747.06</v>
      </c>
      <c r="R130" s="72">
        <f t="shared" si="2"/>
        <v>0</v>
      </c>
      <c r="S130" s="63">
        <f t="shared" si="3"/>
        <v>747.06</v>
      </c>
    </row>
    <row r="131" spans="1:19" x14ac:dyDescent="0.25">
      <c r="A131" s="116" t="s">
        <v>1211</v>
      </c>
      <c r="B131" s="116" t="s">
        <v>1212</v>
      </c>
      <c r="C131" s="117">
        <v>78</v>
      </c>
      <c r="D131" s="91" t="s">
        <v>1213</v>
      </c>
      <c r="E131" s="91" t="s">
        <v>19</v>
      </c>
      <c r="F131" s="121">
        <v>41360</v>
      </c>
      <c r="G131" s="118">
        <f>94.4+238+173.46+27.05+22.44+431.41+80</f>
        <v>1066.76</v>
      </c>
      <c r="H131" s="72"/>
      <c r="I131" s="72"/>
      <c r="J131" s="72"/>
      <c r="K131" s="72"/>
      <c r="L131" s="72"/>
      <c r="M131" s="72"/>
      <c r="N131" s="72"/>
      <c r="O131" s="72"/>
      <c r="P131" s="72"/>
      <c r="Q131" s="63">
        <f t="shared" si="2"/>
        <v>1066.76</v>
      </c>
      <c r="R131" s="72">
        <f t="shared" si="2"/>
        <v>0</v>
      </c>
      <c r="S131" s="63">
        <f t="shared" si="3"/>
        <v>1066.76</v>
      </c>
    </row>
    <row r="132" spans="1:19" x14ac:dyDescent="0.25">
      <c r="A132" s="116" t="s">
        <v>1214</v>
      </c>
      <c r="B132" s="116" t="s">
        <v>1215</v>
      </c>
      <c r="C132" s="117">
        <v>79</v>
      </c>
      <c r="D132" s="91" t="s">
        <v>1216</v>
      </c>
      <c r="E132" s="91" t="s">
        <v>19</v>
      </c>
      <c r="F132" s="121">
        <v>41360</v>
      </c>
      <c r="G132" s="118">
        <f>47.2+17.68+164</f>
        <v>228.88</v>
      </c>
      <c r="H132" s="72"/>
      <c r="I132" s="72"/>
      <c r="J132" s="72"/>
      <c r="K132" s="72"/>
      <c r="L132" s="72"/>
      <c r="M132" s="72"/>
      <c r="N132" s="72"/>
      <c r="O132" s="72"/>
      <c r="P132" s="72"/>
      <c r="Q132" s="63">
        <f t="shared" si="2"/>
        <v>228.88</v>
      </c>
      <c r="R132" s="72">
        <f t="shared" si="2"/>
        <v>0</v>
      </c>
      <c r="S132" s="63">
        <f t="shared" si="3"/>
        <v>228.88</v>
      </c>
    </row>
    <row r="133" spans="1:19" x14ac:dyDescent="0.25">
      <c r="A133" s="116" t="s">
        <v>1217</v>
      </c>
      <c r="B133" s="116" t="s">
        <v>1218</v>
      </c>
      <c r="C133" s="117">
        <v>80</v>
      </c>
      <c r="D133" s="91" t="s">
        <v>1219</v>
      </c>
      <c r="E133" s="91" t="s">
        <v>19</v>
      </c>
      <c r="F133" s="121">
        <v>41365</v>
      </c>
      <c r="G133" s="118">
        <f>590+402.4</f>
        <v>992.4</v>
      </c>
      <c r="H133" s="72"/>
      <c r="I133" s="72"/>
      <c r="J133" s="72"/>
      <c r="K133" s="72"/>
      <c r="L133" s="72"/>
      <c r="M133" s="72"/>
      <c r="N133" s="72"/>
      <c r="O133" s="72"/>
      <c r="P133" s="72"/>
      <c r="Q133" s="63">
        <f t="shared" si="2"/>
        <v>992.4</v>
      </c>
      <c r="R133" s="72">
        <f t="shared" si="2"/>
        <v>0</v>
      </c>
      <c r="S133" s="63">
        <f t="shared" si="3"/>
        <v>992.4</v>
      </c>
    </row>
    <row r="134" spans="1:19" x14ac:dyDescent="0.25">
      <c r="A134" s="116" t="s">
        <v>1217</v>
      </c>
      <c r="B134" s="116" t="s">
        <v>1218</v>
      </c>
      <c r="C134" s="117">
        <v>80</v>
      </c>
      <c r="D134" s="91" t="s">
        <v>3309</v>
      </c>
      <c r="E134" s="91" t="s">
        <v>19</v>
      </c>
      <c r="F134" s="121">
        <v>41365</v>
      </c>
      <c r="G134" s="120">
        <f>78.3</f>
        <v>78.3</v>
      </c>
      <c r="H134" s="73"/>
      <c r="I134" s="73"/>
      <c r="J134" s="72"/>
      <c r="K134" s="72"/>
      <c r="L134" s="72"/>
      <c r="M134" s="72"/>
      <c r="N134" s="72"/>
      <c r="O134" s="72"/>
      <c r="P134" s="72"/>
      <c r="Q134" s="63">
        <f t="shared" ref="Q134:R136" si="4">+G134+I134+K134+M134+O134</f>
        <v>78.3</v>
      </c>
      <c r="R134" s="72">
        <f t="shared" si="4"/>
        <v>0</v>
      </c>
      <c r="S134" s="63">
        <f>+Q134+R134</f>
        <v>78.3</v>
      </c>
    </row>
    <row r="135" spans="1:19" x14ac:dyDescent="0.25">
      <c r="A135" s="116" t="s">
        <v>1220</v>
      </c>
      <c r="B135" s="116" t="s">
        <v>1221</v>
      </c>
      <c r="C135" s="117">
        <v>81</v>
      </c>
      <c r="D135" s="91" t="s">
        <v>1222</v>
      </c>
      <c r="E135" s="91" t="s">
        <v>19</v>
      </c>
      <c r="F135" s="121">
        <v>41356</v>
      </c>
      <c r="G135" s="118">
        <f>306+17.26+23+55+64.9+436.6+436.6+64.9+631.3+145+2803.5</f>
        <v>4984.0600000000004</v>
      </c>
      <c r="H135" s="73"/>
      <c r="I135" s="120">
        <f>2250+750</f>
        <v>3000</v>
      </c>
      <c r="J135" s="72"/>
      <c r="K135" s="72"/>
      <c r="L135" s="72"/>
      <c r="M135" s="72"/>
      <c r="N135" s="72"/>
      <c r="O135" s="72"/>
      <c r="P135" s="72"/>
      <c r="Q135" s="63">
        <f t="shared" si="4"/>
        <v>7984.06</v>
      </c>
      <c r="R135" s="72">
        <f t="shared" si="4"/>
        <v>0</v>
      </c>
      <c r="S135" s="63">
        <f>+Q135+R135</f>
        <v>7984.06</v>
      </c>
    </row>
    <row r="136" spans="1:19" x14ac:dyDescent="0.25">
      <c r="A136" s="116" t="s">
        <v>1223</v>
      </c>
      <c r="B136" s="116" t="s">
        <v>1224</v>
      </c>
      <c r="C136" s="117">
        <v>82</v>
      </c>
      <c r="D136" s="91" t="s">
        <v>1225</v>
      </c>
      <c r="E136" s="91" t="s">
        <v>19</v>
      </c>
      <c r="F136" s="121">
        <v>41356</v>
      </c>
      <c r="G136" s="118">
        <f>100+64.9+2279.84+3764.2+1038.4+47.2+47.2+554.6+47.2+890.62</f>
        <v>8834.16</v>
      </c>
      <c r="H136" s="73"/>
      <c r="I136" s="120">
        <f>1500+750</f>
        <v>2250</v>
      </c>
      <c r="J136" s="72"/>
      <c r="K136" s="72"/>
      <c r="L136" s="72"/>
      <c r="M136" s="72"/>
      <c r="N136" s="72"/>
      <c r="O136" s="72"/>
      <c r="P136" s="72"/>
      <c r="Q136" s="63">
        <f t="shared" si="4"/>
        <v>11084.16</v>
      </c>
      <c r="R136" s="72">
        <f t="shared" si="4"/>
        <v>0</v>
      </c>
      <c r="S136" s="63">
        <f>+Q136+R136</f>
        <v>11084.16</v>
      </c>
    </row>
    <row r="137" spans="1:19" x14ac:dyDescent="0.25">
      <c r="A137" s="116" t="s">
        <v>1226</v>
      </c>
      <c r="B137" s="116" t="s">
        <v>1227</v>
      </c>
      <c r="C137" s="117">
        <v>83</v>
      </c>
      <c r="D137" s="91" t="s">
        <v>1228</v>
      </c>
      <c r="E137" s="91" t="s">
        <v>19</v>
      </c>
      <c r="F137" s="121">
        <v>41367</v>
      </c>
      <c r="G137" s="118">
        <f>52.95+4.24+47.2+320+188.55+24.4+47.2+94.4+64.9+482.33+64.9+554.6</f>
        <v>1945.67</v>
      </c>
      <c r="H137" s="73"/>
      <c r="I137" s="120">
        <v>2250</v>
      </c>
      <c r="J137" s="72"/>
      <c r="K137" s="72"/>
      <c r="L137" s="72"/>
      <c r="M137" s="72"/>
      <c r="N137" s="72"/>
      <c r="O137" s="72"/>
      <c r="P137" s="72"/>
      <c r="Q137" s="63">
        <f t="shared" ref="Q137:Q148" si="5">+G136+I137+K137+M137+O137</f>
        <v>11084.16</v>
      </c>
      <c r="R137" s="72">
        <f t="shared" si="2"/>
        <v>0</v>
      </c>
      <c r="S137" s="63">
        <f t="shared" si="3"/>
        <v>11084.16</v>
      </c>
    </row>
    <row r="138" spans="1:19" x14ac:dyDescent="0.25">
      <c r="A138" s="116" t="s">
        <v>1229</v>
      </c>
      <c r="B138" s="116" t="s">
        <v>1230</v>
      </c>
      <c r="C138" s="117">
        <v>84</v>
      </c>
      <c r="D138" s="91" t="s">
        <v>1231</v>
      </c>
      <c r="E138" s="91" t="s">
        <v>19</v>
      </c>
      <c r="F138" s="121">
        <v>41403</v>
      </c>
      <c r="G138" s="118">
        <f>93.34</f>
        <v>93.34</v>
      </c>
      <c r="H138" s="72"/>
      <c r="I138" s="72"/>
      <c r="J138" s="72"/>
      <c r="K138" s="72"/>
      <c r="L138" s="72"/>
      <c r="M138" s="72"/>
      <c r="N138" s="72"/>
      <c r="O138" s="72"/>
      <c r="P138" s="72"/>
      <c r="Q138" s="63">
        <f t="shared" si="5"/>
        <v>1945.67</v>
      </c>
      <c r="R138" s="72">
        <f t="shared" si="2"/>
        <v>0</v>
      </c>
      <c r="S138" s="63">
        <f t="shared" si="3"/>
        <v>1945.67</v>
      </c>
    </row>
    <row r="139" spans="1:19" x14ac:dyDescent="0.25">
      <c r="A139" s="116" t="s">
        <v>1229</v>
      </c>
      <c r="B139" s="116" t="s">
        <v>1230</v>
      </c>
      <c r="C139" s="117">
        <v>84</v>
      </c>
      <c r="D139" s="91" t="s">
        <v>1232</v>
      </c>
      <c r="E139" s="91" t="s">
        <v>19</v>
      </c>
      <c r="F139" s="121">
        <v>41403</v>
      </c>
      <c r="G139" s="118">
        <f>170.75</f>
        <v>170.75</v>
      </c>
      <c r="H139" s="72"/>
      <c r="I139" s="72"/>
      <c r="J139" s="72"/>
      <c r="K139" s="72"/>
      <c r="L139" s="72"/>
      <c r="M139" s="72"/>
      <c r="N139" s="72"/>
      <c r="O139" s="72"/>
      <c r="P139" s="72"/>
      <c r="Q139" s="63">
        <f t="shared" si="5"/>
        <v>93.34</v>
      </c>
      <c r="R139" s="72">
        <f t="shared" si="2"/>
        <v>0</v>
      </c>
      <c r="S139" s="63">
        <f t="shared" si="3"/>
        <v>93.34</v>
      </c>
    </row>
    <row r="140" spans="1:19" x14ac:dyDescent="0.25">
      <c r="A140" s="116" t="s">
        <v>1233</v>
      </c>
      <c r="B140" s="116" t="s">
        <v>1234</v>
      </c>
      <c r="C140" s="117">
        <v>85</v>
      </c>
      <c r="D140" s="91" t="s">
        <v>1235</v>
      </c>
      <c r="E140" s="91" t="s">
        <v>19</v>
      </c>
      <c r="F140" s="121">
        <v>41366</v>
      </c>
      <c r="G140" s="118">
        <f>84.1</f>
        <v>84.1</v>
      </c>
      <c r="H140" s="72"/>
      <c r="I140" s="72"/>
      <c r="J140" s="72"/>
      <c r="K140" s="72"/>
      <c r="L140" s="72"/>
      <c r="M140" s="72"/>
      <c r="N140" s="72"/>
      <c r="O140" s="72"/>
      <c r="P140" s="72"/>
      <c r="Q140" s="63">
        <f t="shared" si="5"/>
        <v>170.75</v>
      </c>
      <c r="R140" s="72">
        <f t="shared" ref="R140:R203" si="6">+H140+J140+L140+N140+P140</f>
        <v>0</v>
      </c>
      <c r="S140" s="63">
        <f t="shared" ref="S140:S203" si="7">+Q140+R140</f>
        <v>170.75</v>
      </c>
    </row>
    <row r="141" spans="1:19" x14ac:dyDescent="0.25">
      <c r="A141" s="116" t="s">
        <v>1236</v>
      </c>
      <c r="B141" s="116" t="s">
        <v>1237</v>
      </c>
      <c r="C141" s="117">
        <v>86</v>
      </c>
      <c r="D141" s="91" t="s">
        <v>1238</v>
      </c>
      <c r="E141" s="91" t="s">
        <v>19</v>
      </c>
      <c r="F141" s="121">
        <v>41397</v>
      </c>
      <c r="G141" s="118">
        <f>131.91</f>
        <v>131.91</v>
      </c>
      <c r="H141" s="72"/>
      <c r="I141" s="72"/>
      <c r="J141" s="72"/>
      <c r="K141" s="72"/>
      <c r="L141" s="72"/>
      <c r="M141" s="72"/>
      <c r="N141" s="72"/>
      <c r="O141" s="72"/>
      <c r="P141" s="72"/>
      <c r="Q141" s="63">
        <f t="shared" si="5"/>
        <v>84.1</v>
      </c>
      <c r="R141" s="72">
        <f t="shared" si="6"/>
        <v>0</v>
      </c>
      <c r="S141" s="63">
        <f t="shared" si="7"/>
        <v>84.1</v>
      </c>
    </row>
    <row r="142" spans="1:19" x14ac:dyDescent="0.25">
      <c r="A142" s="116" t="s">
        <v>1239</v>
      </c>
      <c r="B142" s="116" t="s">
        <v>1240</v>
      </c>
      <c r="C142" s="117">
        <v>87</v>
      </c>
      <c r="D142" s="91" t="s">
        <v>1241</v>
      </c>
      <c r="E142" s="91" t="s">
        <v>19</v>
      </c>
      <c r="F142" s="121">
        <v>41401</v>
      </c>
      <c r="G142" s="118">
        <f>312.8</f>
        <v>312.8</v>
      </c>
      <c r="H142" s="72"/>
      <c r="I142" s="72"/>
      <c r="J142" s="72"/>
      <c r="K142" s="72"/>
      <c r="L142" s="72"/>
      <c r="M142" s="72"/>
      <c r="N142" s="72"/>
      <c r="O142" s="72"/>
      <c r="P142" s="72"/>
      <c r="Q142" s="63">
        <f t="shared" si="5"/>
        <v>131.91</v>
      </c>
      <c r="R142" s="72">
        <f t="shared" si="6"/>
        <v>0</v>
      </c>
      <c r="S142" s="63">
        <f t="shared" si="7"/>
        <v>131.91</v>
      </c>
    </row>
    <row r="143" spans="1:19" x14ac:dyDescent="0.25">
      <c r="A143" s="116" t="s">
        <v>1242</v>
      </c>
      <c r="B143" s="116" t="s">
        <v>1243</v>
      </c>
      <c r="C143" s="117">
        <v>88</v>
      </c>
      <c r="D143" s="91" t="s">
        <v>1244</v>
      </c>
      <c r="E143" s="91" t="s">
        <v>19</v>
      </c>
      <c r="F143" s="121">
        <v>41604</v>
      </c>
      <c r="G143" s="118">
        <f>41.3</f>
        <v>41.3</v>
      </c>
      <c r="H143" s="72"/>
      <c r="I143" s="72"/>
      <c r="J143" s="72"/>
      <c r="K143" s="72"/>
      <c r="L143" s="72"/>
      <c r="M143" s="72"/>
      <c r="N143" s="72"/>
      <c r="O143" s="72"/>
      <c r="P143" s="72"/>
      <c r="Q143" s="63">
        <f t="shared" si="5"/>
        <v>312.8</v>
      </c>
      <c r="R143" s="72">
        <f t="shared" si="6"/>
        <v>0</v>
      </c>
      <c r="S143" s="63">
        <f t="shared" si="7"/>
        <v>312.8</v>
      </c>
    </row>
    <row r="144" spans="1:19" x14ac:dyDescent="0.25">
      <c r="A144" s="116" t="s">
        <v>1242</v>
      </c>
      <c r="B144" s="116" t="s">
        <v>1243</v>
      </c>
      <c r="C144" s="117">
        <v>88</v>
      </c>
      <c r="D144" s="91" t="s">
        <v>1245</v>
      </c>
      <c r="E144" s="91" t="s">
        <v>19</v>
      </c>
      <c r="F144" s="121">
        <v>41604</v>
      </c>
      <c r="G144" s="118">
        <v>122.5</v>
      </c>
      <c r="H144" s="72"/>
      <c r="I144" s="72"/>
      <c r="J144" s="72"/>
      <c r="K144" s="72"/>
      <c r="L144" s="72"/>
      <c r="M144" s="72"/>
      <c r="N144" s="72"/>
      <c r="O144" s="72"/>
      <c r="P144" s="72"/>
      <c r="Q144" s="63">
        <f t="shared" si="5"/>
        <v>41.3</v>
      </c>
      <c r="R144" s="72">
        <f t="shared" si="6"/>
        <v>0</v>
      </c>
      <c r="S144" s="63">
        <f t="shared" si="7"/>
        <v>41.3</v>
      </c>
    </row>
    <row r="145" spans="1:19" x14ac:dyDescent="0.25">
      <c r="A145" s="116" t="s">
        <v>1246</v>
      </c>
      <c r="B145" s="116" t="s">
        <v>1247</v>
      </c>
      <c r="C145" s="117">
        <v>89</v>
      </c>
      <c r="D145" s="91" t="s">
        <v>1248</v>
      </c>
      <c r="E145" s="91" t="s">
        <v>19</v>
      </c>
      <c r="F145" s="121">
        <v>41383</v>
      </c>
      <c r="G145" s="118">
        <f>111.5+348.1+282.1+1418.3</f>
        <v>2160</v>
      </c>
      <c r="H145" s="72"/>
      <c r="I145" s="120">
        <v>2000</v>
      </c>
      <c r="J145" s="72"/>
      <c r="K145" s="72"/>
      <c r="L145" s="72"/>
      <c r="M145" s="72"/>
      <c r="N145" s="72"/>
      <c r="O145" s="72"/>
      <c r="P145" s="72"/>
      <c r="Q145" s="63">
        <f t="shared" si="5"/>
        <v>2122.5</v>
      </c>
      <c r="R145" s="72">
        <f t="shared" si="6"/>
        <v>0</v>
      </c>
      <c r="S145" s="63">
        <f t="shared" si="7"/>
        <v>2122.5</v>
      </c>
    </row>
    <row r="146" spans="1:19" x14ac:dyDescent="0.25">
      <c r="A146" s="116" t="s">
        <v>1249</v>
      </c>
      <c r="B146" s="116" t="s">
        <v>1250</v>
      </c>
      <c r="C146" s="117">
        <v>90</v>
      </c>
      <c r="D146" s="91" t="s">
        <v>1251</v>
      </c>
      <c r="E146" s="91" t="s">
        <v>19</v>
      </c>
      <c r="F146" s="121">
        <v>41383</v>
      </c>
      <c r="G146" s="118">
        <f>240+1053.62</f>
        <v>1293.6199999999999</v>
      </c>
      <c r="H146" s="72"/>
      <c r="I146" s="73"/>
      <c r="J146" s="72"/>
      <c r="K146" s="72"/>
      <c r="L146" s="72"/>
      <c r="M146" s="72"/>
      <c r="N146" s="72"/>
      <c r="O146" s="72"/>
      <c r="P146" s="72"/>
      <c r="Q146" s="63">
        <f t="shared" si="5"/>
        <v>2160</v>
      </c>
      <c r="R146" s="72">
        <f t="shared" si="6"/>
        <v>0</v>
      </c>
      <c r="S146" s="63">
        <f t="shared" si="7"/>
        <v>2160</v>
      </c>
    </row>
    <row r="147" spans="1:19" x14ac:dyDescent="0.25">
      <c r="A147" s="116" t="s">
        <v>1252</v>
      </c>
      <c r="B147" s="116" t="s">
        <v>1253</v>
      </c>
      <c r="C147" s="117">
        <v>91</v>
      </c>
      <c r="D147" s="91" t="s">
        <v>1254</v>
      </c>
      <c r="E147" s="91" t="s">
        <v>19</v>
      </c>
      <c r="F147" s="121">
        <v>41367</v>
      </c>
      <c r="G147" s="118">
        <f>6.48+238+286.45</f>
        <v>530.92999999999995</v>
      </c>
      <c r="H147" s="72"/>
      <c r="I147" s="73"/>
      <c r="J147" s="72"/>
      <c r="K147" s="72"/>
      <c r="L147" s="72"/>
      <c r="M147" s="72"/>
      <c r="N147" s="72"/>
      <c r="O147" s="72"/>
      <c r="P147" s="72"/>
      <c r="Q147" s="63">
        <f t="shared" si="5"/>
        <v>1293.6199999999999</v>
      </c>
      <c r="R147" s="72">
        <f t="shared" si="6"/>
        <v>0</v>
      </c>
      <c r="S147" s="63">
        <f t="shared" si="7"/>
        <v>1293.6199999999999</v>
      </c>
    </row>
    <row r="148" spans="1:19" x14ac:dyDescent="0.25">
      <c r="A148" s="116" t="s">
        <v>1255</v>
      </c>
      <c r="B148" s="116" t="s">
        <v>1256</v>
      </c>
      <c r="C148" s="117">
        <v>92</v>
      </c>
      <c r="D148" s="91" t="s">
        <v>1257</v>
      </c>
      <c r="E148" s="91" t="s">
        <v>19</v>
      </c>
      <c r="F148" s="121">
        <v>41358</v>
      </c>
      <c r="G148" s="77"/>
      <c r="H148" s="72"/>
      <c r="I148" s="73"/>
      <c r="J148" s="72"/>
      <c r="K148" s="72"/>
      <c r="L148" s="72"/>
      <c r="M148" s="72"/>
      <c r="N148" s="72"/>
      <c r="O148" s="72"/>
      <c r="P148" s="72"/>
      <c r="Q148" s="63">
        <f t="shared" si="5"/>
        <v>530.92999999999995</v>
      </c>
      <c r="R148" s="72">
        <f t="shared" si="6"/>
        <v>0</v>
      </c>
      <c r="S148" s="63">
        <f t="shared" si="7"/>
        <v>530.92999999999995</v>
      </c>
    </row>
    <row r="149" spans="1:19" x14ac:dyDescent="0.25">
      <c r="A149" s="116" t="s">
        <v>1258</v>
      </c>
      <c r="B149" s="116" t="s">
        <v>1259</v>
      </c>
      <c r="C149" s="117">
        <v>93</v>
      </c>
      <c r="D149" s="91" t="s">
        <v>1260</v>
      </c>
      <c r="E149" s="91" t="s">
        <v>1261</v>
      </c>
      <c r="F149" s="121">
        <v>41465</v>
      </c>
      <c r="G149" s="118">
        <f>5185+1587.89</f>
        <v>6772.89</v>
      </c>
      <c r="H149" s="72"/>
      <c r="I149" s="120">
        <v>3700</v>
      </c>
      <c r="J149" s="72"/>
      <c r="K149" s="72"/>
      <c r="L149" s="72"/>
      <c r="M149" s="72"/>
      <c r="N149" s="72"/>
      <c r="O149" s="72"/>
      <c r="P149" s="72"/>
      <c r="Q149" s="63">
        <f t="shared" ref="Q149:Q160" si="8">+G148+I149+K149+M149+O149</f>
        <v>3700</v>
      </c>
      <c r="R149" s="72">
        <f t="shared" ref="R149:R160" si="9">+H149+J149+L149+N149+P149</f>
        <v>0</v>
      </c>
      <c r="S149" s="63">
        <f t="shared" ref="S149:S160" si="10">+Q149+R149</f>
        <v>3700</v>
      </c>
    </row>
    <row r="150" spans="1:19" x14ac:dyDescent="0.25">
      <c r="A150" s="116" t="s">
        <v>1262</v>
      </c>
      <c r="B150" s="116" t="s">
        <v>1263</v>
      </c>
      <c r="C150" s="117">
        <v>94</v>
      </c>
      <c r="D150" s="91" t="s">
        <v>4320</v>
      </c>
      <c r="E150" s="91" t="s">
        <v>19</v>
      </c>
      <c r="F150" s="121">
        <v>41370</v>
      </c>
      <c r="G150" s="118">
        <f>69.38</f>
        <v>69.38</v>
      </c>
      <c r="H150" s="72"/>
      <c r="I150" s="72"/>
      <c r="J150" s="72"/>
      <c r="K150" s="72"/>
      <c r="L150" s="72"/>
      <c r="M150" s="72"/>
      <c r="N150" s="72"/>
      <c r="O150" s="72"/>
      <c r="P150" s="72"/>
      <c r="Q150" s="63">
        <f t="shared" si="8"/>
        <v>6772.89</v>
      </c>
      <c r="R150" s="72">
        <f t="shared" si="9"/>
        <v>0</v>
      </c>
      <c r="S150" s="63">
        <f t="shared" si="10"/>
        <v>6772.89</v>
      </c>
    </row>
    <row r="151" spans="1:19" x14ac:dyDescent="0.25">
      <c r="A151" s="116" t="s">
        <v>1264</v>
      </c>
      <c r="B151" s="116" t="s">
        <v>1265</v>
      </c>
      <c r="C151" s="117">
        <v>95</v>
      </c>
      <c r="D151" s="91" t="s">
        <v>1266</v>
      </c>
      <c r="E151" s="91" t="s">
        <v>19</v>
      </c>
      <c r="F151" s="121">
        <v>41338</v>
      </c>
      <c r="G151" s="118">
        <v>173.7</v>
      </c>
      <c r="H151" s="72"/>
      <c r="I151" s="72"/>
      <c r="J151" s="72"/>
      <c r="K151" s="72"/>
      <c r="L151" s="72"/>
      <c r="M151" s="72"/>
      <c r="N151" s="72"/>
      <c r="O151" s="72"/>
      <c r="P151" s="72"/>
      <c r="Q151" s="63">
        <f t="shared" si="8"/>
        <v>69.38</v>
      </c>
      <c r="R151" s="72">
        <f t="shared" si="9"/>
        <v>0</v>
      </c>
      <c r="S151" s="63">
        <f t="shared" si="10"/>
        <v>69.38</v>
      </c>
    </row>
    <row r="152" spans="1:19" x14ac:dyDescent="0.25">
      <c r="A152" s="116" t="s">
        <v>1267</v>
      </c>
      <c r="B152" s="116" t="s">
        <v>1268</v>
      </c>
      <c r="C152" s="117">
        <v>96</v>
      </c>
      <c r="D152" s="91" t="s">
        <v>1269</v>
      </c>
      <c r="E152" s="91" t="s">
        <v>19</v>
      </c>
      <c r="F152" s="121">
        <v>41365</v>
      </c>
      <c r="G152" s="118">
        <f>320+381.3</f>
        <v>701.3</v>
      </c>
      <c r="H152" s="72"/>
      <c r="I152" s="72"/>
      <c r="J152" s="72"/>
      <c r="K152" s="72"/>
      <c r="L152" s="72"/>
      <c r="M152" s="72"/>
      <c r="N152" s="72"/>
      <c r="O152" s="72"/>
      <c r="P152" s="72"/>
      <c r="Q152" s="63">
        <f t="shared" si="8"/>
        <v>173.7</v>
      </c>
      <c r="R152" s="72">
        <f t="shared" si="9"/>
        <v>0</v>
      </c>
      <c r="S152" s="63">
        <f t="shared" si="10"/>
        <v>173.7</v>
      </c>
    </row>
    <row r="153" spans="1:19" x14ac:dyDescent="0.25">
      <c r="A153" s="116" t="s">
        <v>1267</v>
      </c>
      <c r="B153" s="116" t="s">
        <v>1268</v>
      </c>
      <c r="C153" s="117">
        <v>96</v>
      </c>
      <c r="D153" s="91" t="s">
        <v>1270</v>
      </c>
      <c r="E153" s="91" t="s">
        <v>19</v>
      </c>
      <c r="F153" s="121">
        <v>41365</v>
      </c>
      <c r="G153" s="97">
        <f>246.2</f>
        <v>246.2</v>
      </c>
      <c r="H153" s="72"/>
      <c r="I153" s="72"/>
      <c r="J153" s="72"/>
      <c r="K153" s="72"/>
      <c r="L153" s="72"/>
      <c r="M153" s="72"/>
      <c r="N153" s="72"/>
      <c r="O153" s="72"/>
      <c r="P153" s="72"/>
      <c r="Q153" s="63">
        <f t="shared" si="8"/>
        <v>701.3</v>
      </c>
      <c r="R153" s="72">
        <f t="shared" si="9"/>
        <v>0</v>
      </c>
      <c r="S153" s="63">
        <f t="shared" si="10"/>
        <v>701.3</v>
      </c>
    </row>
    <row r="154" spans="1:19" x14ac:dyDescent="0.25">
      <c r="A154" s="116" t="s">
        <v>1271</v>
      </c>
      <c r="B154" s="116" t="s">
        <v>1272</v>
      </c>
      <c r="C154" s="117">
        <v>97</v>
      </c>
      <c r="D154" s="91" t="s">
        <v>1273</v>
      </c>
      <c r="E154" s="91" t="s">
        <v>19</v>
      </c>
      <c r="F154" s="121">
        <v>41396</v>
      </c>
      <c r="G154" s="118">
        <f>40</f>
        <v>40</v>
      </c>
      <c r="H154" s="72"/>
      <c r="I154" s="72"/>
      <c r="J154" s="72"/>
      <c r="K154" s="72"/>
      <c r="L154" s="72"/>
      <c r="M154" s="72"/>
      <c r="N154" s="72"/>
      <c r="O154" s="72"/>
      <c r="P154" s="72"/>
      <c r="Q154" s="63">
        <f t="shared" si="8"/>
        <v>246.2</v>
      </c>
      <c r="R154" s="72">
        <f t="shared" si="9"/>
        <v>0</v>
      </c>
      <c r="S154" s="63">
        <f t="shared" si="10"/>
        <v>246.2</v>
      </c>
    </row>
    <row r="155" spans="1:19" x14ac:dyDescent="0.25">
      <c r="A155" s="116" t="s">
        <v>1271</v>
      </c>
      <c r="B155" s="116" t="s">
        <v>1272</v>
      </c>
      <c r="C155" s="117">
        <v>97</v>
      </c>
      <c r="D155" s="91" t="s">
        <v>1274</v>
      </c>
      <c r="E155" s="91" t="s">
        <v>19</v>
      </c>
      <c r="F155" s="121">
        <v>41396</v>
      </c>
      <c r="G155" s="118">
        <f>640+387.3</f>
        <v>1027.3</v>
      </c>
      <c r="H155" s="72"/>
      <c r="I155" s="72"/>
      <c r="J155" s="72"/>
      <c r="K155" s="72"/>
      <c r="L155" s="72"/>
      <c r="M155" s="72"/>
      <c r="N155" s="72"/>
      <c r="O155" s="72"/>
      <c r="P155" s="72"/>
      <c r="Q155" s="63">
        <f t="shared" si="8"/>
        <v>40</v>
      </c>
      <c r="R155" s="72">
        <f t="shared" si="9"/>
        <v>0</v>
      </c>
      <c r="S155" s="63">
        <f t="shared" si="10"/>
        <v>40</v>
      </c>
    </row>
    <row r="156" spans="1:19" x14ac:dyDescent="0.25">
      <c r="A156" s="116" t="s">
        <v>1275</v>
      </c>
      <c r="B156" s="116" t="s">
        <v>1276</v>
      </c>
      <c r="C156" s="117">
        <v>98</v>
      </c>
      <c r="D156" s="91" t="s">
        <v>1277</v>
      </c>
      <c r="E156" s="91" t="s">
        <v>19</v>
      </c>
      <c r="F156" s="121">
        <v>41370</v>
      </c>
      <c r="G156" s="118">
        <f>32.5+94.4+320+108.52+47.2+2120.7+47.2+495.9</f>
        <v>3266.4199999999996</v>
      </c>
      <c r="H156" s="72"/>
      <c r="I156" s="72"/>
      <c r="J156" s="72"/>
      <c r="K156" s="72"/>
      <c r="L156" s="72"/>
      <c r="M156" s="72"/>
      <c r="N156" s="72"/>
      <c r="O156" s="72"/>
      <c r="P156" s="72"/>
      <c r="Q156" s="63">
        <f t="shared" si="8"/>
        <v>1027.3</v>
      </c>
      <c r="R156" s="72">
        <f t="shared" si="9"/>
        <v>0</v>
      </c>
      <c r="S156" s="63">
        <f t="shared" si="10"/>
        <v>1027.3</v>
      </c>
    </row>
    <row r="157" spans="1:19" x14ac:dyDescent="0.25">
      <c r="A157" s="116" t="s">
        <v>1278</v>
      </c>
      <c r="B157" s="116" t="s">
        <v>1279</v>
      </c>
      <c r="C157" s="117">
        <v>99</v>
      </c>
      <c r="D157" s="91" t="s">
        <v>1280</v>
      </c>
      <c r="E157" s="91" t="s">
        <v>19</v>
      </c>
      <c r="F157" s="121">
        <v>41428</v>
      </c>
      <c r="G157" s="118">
        <f>5.2+105+48.8</f>
        <v>159</v>
      </c>
      <c r="H157" s="72"/>
      <c r="I157" s="72"/>
      <c r="J157" s="72"/>
      <c r="K157" s="72"/>
      <c r="L157" s="72"/>
      <c r="M157" s="72"/>
      <c r="N157" s="72"/>
      <c r="O157" s="72"/>
      <c r="P157" s="72"/>
      <c r="Q157" s="63">
        <f t="shared" si="8"/>
        <v>3266.4199999999996</v>
      </c>
      <c r="R157" s="72">
        <f t="shared" si="9"/>
        <v>0</v>
      </c>
      <c r="S157" s="63">
        <f t="shared" si="10"/>
        <v>3266.4199999999996</v>
      </c>
    </row>
    <row r="158" spans="1:19" x14ac:dyDescent="0.25">
      <c r="A158" s="116" t="s">
        <v>1281</v>
      </c>
      <c r="B158" s="116" t="s">
        <v>1282</v>
      </c>
      <c r="C158" s="117">
        <v>100</v>
      </c>
      <c r="D158" s="91" t="s">
        <v>1283</v>
      </c>
      <c r="E158" s="91" t="s">
        <v>19</v>
      </c>
      <c r="F158" s="121">
        <v>41360</v>
      </c>
      <c r="G158" s="118">
        <v>384.48</v>
      </c>
      <c r="H158" s="72"/>
      <c r="I158" s="72"/>
      <c r="J158" s="72"/>
      <c r="K158" s="72"/>
      <c r="L158" s="72"/>
      <c r="M158" s="72"/>
      <c r="N158" s="72"/>
      <c r="O158" s="72"/>
      <c r="P158" s="72"/>
      <c r="Q158" s="63">
        <f t="shared" si="8"/>
        <v>159</v>
      </c>
      <c r="R158" s="72">
        <f t="shared" si="9"/>
        <v>0</v>
      </c>
      <c r="S158" s="63">
        <f t="shared" si="10"/>
        <v>159</v>
      </c>
    </row>
    <row r="159" spans="1:19" x14ac:dyDescent="0.25">
      <c r="A159" s="116" t="s">
        <v>1284</v>
      </c>
      <c r="B159" s="116" t="s">
        <v>1285</v>
      </c>
      <c r="C159" s="117">
        <v>101</v>
      </c>
      <c r="D159" s="91" t="s">
        <v>1286</v>
      </c>
      <c r="E159" s="91" t="s">
        <v>19</v>
      </c>
      <c r="F159" s="121">
        <v>41388</v>
      </c>
      <c r="G159" s="77"/>
      <c r="H159" s="72"/>
      <c r="I159" s="72"/>
      <c r="J159" s="72"/>
      <c r="K159" s="72"/>
      <c r="L159" s="72"/>
      <c r="M159" s="72"/>
      <c r="N159" s="72"/>
      <c r="O159" s="72"/>
      <c r="P159" s="72"/>
      <c r="Q159" s="63">
        <f t="shared" si="8"/>
        <v>384.48</v>
      </c>
      <c r="R159" s="72">
        <f t="shared" si="9"/>
        <v>0</v>
      </c>
      <c r="S159" s="63">
        <f t="shared" si="10"/>
        <v>384.48</v>
      </c>
    </row>
    <row r="160" spans="1:19" x14ac:dyDescent="0.25">
      <c r="A160" s="116" t="s">
        <v>1284</v>
      </c>
      <c r="B160" s="116" t="s">
        <v>1285</v>
      </c>
      <c r="C160" s="117">
        <v>101</v>
      </c>
      <c r="D160" s="91" t="s">
        <v>1287</v>
      </c>
      <c r="E160" s="91" t="s">
        <v>19</v>
      </c>
      <c r="F160" s="121">
        <v>41388</v>
      </c>
      <c r="G160" s="118">
        <f>165.8</f>
        <v>165.8</v>
      </c>
      <c r="H160" s="72"/>
      <c r="I160" s="72"/>
      <c r="J160" s="72"/>
      <c r="K160" s="72"/>
      <c r="L160" s="72"/>
      <c r="M160" s="72"/>
      <c r="N160" s="72"/>
      <c r="O160" s="72"/>
      <c r="P160" s="72"/>
      <c r="Q160" s="63">
        <f t="shared" si="8"/>
        <v>0</v>
      </c>
      <c r="R160" s="72">
        <f t="shared" si="9"/>
        <v>0</v>
      </c>
      <c r="S160" s="63">
        <f t="shared" si="10"/>
        <v>0</v>
      </c>
    </row>
    <row r="161" spans="1:19" x14ac:dyDescent="0.25">
      <c r="A161" s="116" t="s">
        <v>1284</v>
      </c>
      <c r="B161" s="116" t="s">
        <v>1285</v>
      </c>
      <c r="C161" s="117">
        <v>101</v>
      </c>
      <c r="D161" s="91" t="s">
        <v>1288</v>
      </c>
      <c r="E161" s="91" t="s">
        <v>19</v>
      </c>
      <c r="F161" s="121">
        <v>41388</v>
      </c>
      <c r="G161" s="118">
        <f>166.1</f>
        <v>166.1</v>
      </c>
      <c r="H161" s="72"/>
      <c r="I161" s="72"/>
      <c r="J161" s="72"/>
      <c r="K161" s="72"/>
      <c r="L161" s="72"/>
      <c r="M161" s="72"/>
      <c r="N161" s="72"/>
      <c r="O161" s="72"/>
      <c r="P161" s="72"/>
      <c r="Q161" s="63">
        <f t="shared" ref="Q161:Q181" si="11">+G160+I161+K161+M161+O161</f>
        <v>165.8</v>
      </c>
      <c r="R161" s="72">
        <f t="shared" si="6"/>
        <v>0</v>
      </c>
      <c r="S161" s="63">
        <f t="shared" si="7"/>
        <v>165.8</v>
      </c>
    </row>
    <row r="162" spans="1:19" x14ac:dyDescent="0.25">
      <c r="A162" s="116" t="s">
        <v>1289</v>
      </c>
      <c r="B162" s="116" t="s">
        <v>1290</v>
      </c>
      <c r="C162" s="117">
        <v>102</v>
      </c>
      <c r="D162" s="91" t="s">
        <v>1291</v>
      </c>
      <c r="E162" s="91" t="s">
        <v>19</v>
      </c>
      <c r="F162" s="121">
        <v>41366</v>
      </c>
      <c r="G162" s="118">
        <f>135.5</f>
        <v>135.5</v>
      </c>
      <c r="H162" s="72"/>
      <c r="I162" s="72"/>
      <c r="J162" s="72"/>
      <c r="K162" s="72"/>
      <c r="L162" s="72"/>
      <c r="M162" s="72"/>
      <c r="N162" s="72"/>
      <c r="O162" s="72"/>
      <c r="P162" s="72"/>
      <c r="Q162" s="63">
        <f t="shared" si="11"/>
        <v>166.1</v>
      </c>
      <c r="R162" s="72">
        <f t="shared" si="6"/>
        <v>0</v>
      </c>
      <c r="S162" s="63">
        <f t="shared" si="7"/>
        <v>166.1</v>
      </c>
    </row>
    <row r="163" spans="1:19" x14ac:dyDescent="0.25">
      <c r="A163" s="116" t="s">
        <v>1289</v>
      </c>
      <c r="B163" s="116" t="s">
        <v>1290</v>
      </c>
      <c r="C163" s="117">
        <v>102</v>
      </c>
      <c r="D163" s="91" t="s">
        <v>1292</v>
      </c>
      <c r="E163" s="91" t="s">
        <v>19</v>
      </c>
      <c r="F163" s="121">
        <v>41366</v>
      </c>
      <c r="G163" s="118">
        <f>182</f>
        <v>182</v>
      </c>
      <c r="H163" s="72"/>
      <c r="I163" s="72"/>
      <c r="J163" s="72"/>
      <c r="K163" s="72"/>
      <c r="L163" s="72"/>
      <c r="M163" s="72"/>
      <c r="N163" s="72"/>
      <c r="O163" s="72"/>
      <c r="P163" s="72"/>
      <c r="Q163" s="63">
        <f t="shared" si="11"/>
        <v>135.5</v>
      </c>
      <c r="R163" s="72">
        <f t="shared" si="6"/>
        <v>0</v>
      </c>
      <c r="S163" s="63">
        <f t="shared" si="7"/>
        <v>135.5</v>
      </c>
    </row>
    <row r="164" spans="1:19" x14ac:dyDescent="0.25">
      <c r="A164" s="116" t="s">
        <v>1293</v>
      </c>
      <c r="B164" s="116" t="s">
        <v>1294</v>
      </c>
      <c r="C164" s="117">
        <v>103</v>
      </c>
      <c r="D164" s="91" t="s">
        <v>1295</v>
      </c>
      <c r="E164" s="91" t="s">
        <v>19</v>
      </c>
      <c r="F164" s="121">
        <v>41366</v>
      </c>
      <c r="G164" s="118">
        <f>91.2</f>
        <v>91.2</v>
      </c>
      <c r="H164" s="72"/>
      <c r="I164" s="72"/>
      <c r="J164" s="72"/>
      <c r="K164" s="72"/>
      <c r="L164" s="72"/>
      <c r="M164" s="72"/>
      <c r="N164" s="72"/>
      <c r="O164" s="72"/>
      <c r="P164" s="72"/>
      <c r="Q164" s="63">
        <f t="shared" si="11"/>
        <v>182</v>
      </c>
      <c r="R164" s="72">
        <f t="shared" si="6"/>
        <v>0</v>
      </c>
      <c r="S164" s="63">
        <f t="shared" si="7"/>
        <v>182</v>
      </c>
    </row>
    <row r="165" spans="1:19" x14ac:dyDescent="0.25">
      <c r="A165" s="116" t="s">
        <v>1296</v>
      </c>
      <c r="B165" s="116" t="s">
        <v>1297</v>
      </c>
      <c r="C165" s="117">
        <v>104</v>
      </c>
      <c r="D165" s="91" t="s">
        <v>1298</v>
      </c>
      <c r="E165" s="91" t="s">
        <v>19</v>
      </c>
      <c r="F165" s="121">
        <v>41366</v>
      </c>
      <c r="G165" s="118">
        <f>48.9</f>
        <v>48.9</v>
      </c>
      <c r="H165" s="72"/>
      <c r="I165" s="72"/>
      <c r="J165" s="72"/>
      <c r="K165" s="72"/>
      <c r="L165" s="72"/>
      <c r="M165" s="72"/>
      <c r="N165" s="72"/>
      <c r="O165" s="72"/>
      <c r="P165" s="72"/>
      <c r="Q165" s="63">
        <f t="shared" si="11"/>
        <v>91.2</v>
      </c>
      <c r="R165" s="72">
        <f t="shared" si="6"/>
        <v>0</v>
      </c>
      <c r="S165" s="63">
        <f t="shared" si="7"/>
        <v>91.2</v>
      </c>
    </row>
    <row r="166" spans="1:19" x14ac:dyDescent="0.25">
      <c r="A166" s="116" t="s">
        <v>1296</v>
      </c>
      <c r="B166" s="116" t="s">
        <v>1297</v>
      </c>
      <c r="C166" s="117">
        <v>104</v>
      </c>
      <c r="D166" s="91" t="s">
        <v>1299</v>
      </c>
      <c r="E166" s="91" t="s">
        <v>19</v>
      </c>
      <c r="F166" s="121">
        <v>41366</v>
      </c>
      <c r="G166" s="118">
        <f>48</f>
        <v>48</v>
      </c>
      <c r="H166" s="72"/>
      <c r="I166" s="72"/>
      <c r="J166" s="72"/>
      <c r="K166" s="72"/>
      <c r="L166" s="72"/>
      <c r="M166" s="72"/>
      <c r="N166" s="72"/>
      <c r="O166" s="72"/>
      <c r="P166" s="72"/>
      <c r="Q166" s="63">
        <f t="shared" si="11"/>
        <v>48.9</v>
      </c>
      <c r="R166" s="72">
        <f t="shared" si="6"/>
        <v>0</v>
      </c>
      <c r="S166" s="63">
        <f t="shared" si="7"/>
        <v>48.9</v>
      </c>
    </row>
    <row r="167" spans="1:19" x14ac:dyDescent="0.25">
      <c r="A167" s="116" t="s">
        <v>1296</v>
      </c>
      <c r="B167" s="116" t="s">
        <v>1297</v>
      </c>
      <c r="C167" s="117">
        <v>104</v>
      </c>
      <c r="D167" s="91" t="s">
        <v>1300</v>
      </c>
      <c r="E167" s="91" t="s">
        <v>19</v>
      </c>
      <c r="F167" s="121">
        <v>41366</v>
      </c>
      <c r="G167" s="118">
        <f>48.9</f>
        <v>48.9</v>
      </c>
      <c r="H167" s="72"/>
      <c r="I167" s="72"/>
      <c r="J167" s="72"/>
      <c r="K167" s="72"/>
      <c r="L167" s="72"/>
      <c r="M167" s="72"/>
      <c r="N167" s="72"/>
      <c r="O167" s="72"/>
      <c r="P167" s="72"/>
      <c r="Q167" s="63">
        <f t="shared" si="11"/>
        <v>48</v>
      </c>
      <c r="R167" s="72">
        <f t="shared" si="6"/>
        <v>0</v>
      </c>
      <c r="S167" s="63">
        <f t="shared" si="7"/>
        <v>48</v>
      </c>
    </row>
    <row r="168" spans="1:19" x14ac:dyDescent="0.25">
      <c r="A168" s="116" t="s">
        <v>1301</v>
      </c>
      <c r="B168" s="116" t="s">
        <v>1302</v>
      </c>
      <c r="C168" s="117">
        <v>105</v>
      </c>
      <c r="D168" s="91" t="s">
        <v>1303</v>
      </c>
      <c r="E168" s="91" t="s">
        <v>19</v>
      </c>
      <c r="F168" s="121">
        <v>41366</v>
      </c>
      <c r="G168" s="118">
        <f>114</f>
        <v>114</v>
      </c>
      <c r="H168" s="72"/>
      <c r="I168" s="72"/>
      <c r="J168" s="72"/>
      <c r="K168" s="72"/>
      <c r="L168" s="72"/>
      <c r="M168" s="72"/>
      <c r="N168" s="72"/>
      <c r="O168" s="72"/>
      <c r="P168" s="72"/>
      <c r="Q168" s="63">
        <f t="shared" si="11"/>
        <v>48.9</v>
      </c>
      <c r="R168" s="72">
        <f t="shared" si="6"/>
        <v>0</v>
      </c>
      <c r="S168" s="63">
        <f t="shared" si="7"/>
        <v>48.9</v>
      </c>
    </row>
    <row r="169" spans="1:19" x14ac:dyDescent="0.25">
      <c r="A169" s="116" t="s">
        <v>1301</v>
      </c>
      <c r="B169" s="116" t="s">
        <v>1302</v>
      </c>
      <c r="C169" s="117">
        <v>105</v>
      </c>
      <c r="D169" s="91" t="s">
        <v>1304</v>
      </c>
      <c r="E169" s="91" t="s">
        <v>19</v>
      </c>
      <c r="F169" s="121">
        <v>41366</v>
      </c>
      <c r="G169" s="118">
        <f>172.5</f>
        <v>172.5</v>
      </c>
      <c r="H169" s="72"/>
      <c r="I169" s="72"/>
      <c r="J169" s="72"/>
      <c r="K169" s="72"/>
      <c r="L169" s="72"/>
      <c r="M169" s="72"/>
      <c r="N169" s="72"/>
      <c r="O169" s="72"/>
      <c r="P169" s="72"/>
      <c r="Q169" s="63">
        <f t="shared" si="11"/>
        <v>114</v>
      </c>
      <c r="R169" s="72">
        <f t="shared" si="6"/>
        <v>0</v>
      </c>
      <c r="S169" s="63">
        <f t="shared" si="7"/>
        <v>114</v>
      </c>
    </row>
    <row r="170" spans="1:19" x14ac:dyDescent="0.25">
      <c r="A170" s="116" t="s">
        <v>1305</v>
      </c>
      <c r="B170" s="116" t="s">
        <v>1306</v>
      </c>
      <c r="C170" s="117">
        <v>106</v>
      </c>
      <c r="D170" s="91" t="s">
        <v>1307</v>
      </c>
      <c r="E170" s="91" t="s">
        <v>19</v>
      </c>
      <c r="F170" s="121">
        <v>41366</v>
      </c>
      <c r="G170" s="118">
        <f>129.3</f>
        <v>129.30000000000001</v>
      </c>
      <c r="H170" s="72"/>
      <c r="I170" s="72"/>
      <c r="J170" s="72"/>
      <c r="K170" s="72"/>
      <c r="L170" s="72"/>
      <c r="M170" s="72"/>
      <c r="N170" s="72"/>
      <c r="O170" s="72"/>
      <c r="P170" s="72"/>
      <c r="Q170" s="63">
        <f t="shared" si="11"/>
        <v>172.5</v>
      </c>
      <c r="R170" s="72">
        <f t="shared" si="6"/>
        <v>0</v>
      </c>
      <c r="S170" s="63">
        <f t="shared" si="7"/>
        <v>172.5</v>
      </c>
    </row>
    <row r="171" spans="1:19" x14ac:dyDescent="0.25">
      <c r="A171" s="116" t="s">
        <v>1308</v>
      </c>
      <c r="B171" s="116" t="s">
        <v>1309</v>
      </c>
      <c r="C171" s="117">
        <v>107</v>
      </c>
      <c r="D171" s="91" t="s">
        <v>1310</v>
      </c>
      <c r="E171" s="91" t="s">
        <v>19</v>
      </c>
      <c r="F171" s="121">
        <v>41409</v>
      </c>
      <c r="G171" s="118">
        <f>41.3+130.33+133.35+81.56+188.29</f>
        <v>574.83000000000004</v>
      </c>
      <c r="H171" s="72"/>
      <c r="I171" s="120">
        <v>550</v>
      </c>
      <c r="J171" s="72"/>
      <c r="K171" s="72"/>
      <c r="L171" s="72"/>
      <c r="M171" s="72"/>
      <c r="N171" s="72"/>
      <c r="O171" s="72"/>
      <c r="P171" s="72"/>
      <c r="Q171" s="63">
        <f t="shared" si="11"/>
        <v>679.3</v>
      </c>
      <c r="R171" s="72">
        <f t="shared" si="6"/>
        <v>0</v>
      </c>
      <c r="S171" s="63">
        <f t="shared" si="7"/>
        <v>679.3</v>
      </c>
    </row>
    <row r="172" spans="1:19" x14ac:dyDescent="0.25">
      <c r="A172" s="116" t="s">
        <v>1308</v>
      </c>
      <c r="B172" s="116" t="s">
        <v>1309</v>
      </c>
      <c r="C172" s="117">
        <v>107</v>
      </c>
      <c r="D172" s="91" t="s">
        <v>1311</v>
      </c>
      <c r="E172" s="91" t="s">
        <v>19</v>
      </c>
      <c r="F172" s="121">
        <v>41601</v>
      </c>
      <c r="G172" s="118">
        <f>399.31</f>
        <v>399.31</v>
      </c>
      <c r="H172" s="72"/>
      <c r="I172" s="73"/>
      <c r="J172" s="72"/>
      <c r="K172" s="72"/>
      <c r="L172" s="72"/>
      <c r="M172" s="72"/>
      <c r="N172" s="72"/>
      <c r="O172" s="72"/>
      <c r="P172" s="72"/>
      <c r="Q172" s="63">
        <f t="shared" si="11"/>
        <v>574.83000000000004</v>
      </c>
      <c r="R172" s="72">
        <f t="shared" si="6"/>
        <v>0</v>
      </c>
      <c r="S172" s="63">
        <f t="shared" si="7"/>
        <v>574.83000000000004</v>
      </c>
    </row>
    <row r="173" spans="1:19" x14ac:dyDescent="0.25">
      <c r="A173" s="116" t="s">
        <v>1312</v>
      </c>
      <c r="B173" s="116" t="s">
        <v>1313</v>
      </c>
      <c r="C173" s="117">
        <v>108</v>
      </c>
      <c r="D173" s="91" t="s">
        <v>1314</v>
      </c>
      <c r="E173" s="91" t="s">
        <v>19</v>
      </c>
      <c r="F173" s="121">
        <v>41396</v>
      </c>
      <c r="G173" s="118">
        <f>238+25.5+21.72+210+88.77+4.8+40.45+554.6+35+190.5</f>
        <v>1409.3400000000001</v>
      </c>
      <c r="H173" s="72"/>
      <c r="I173" s="120">
        <v>1500</v>
      </c>
      <c r="J173" s="72"/>
      <c r="K173" s="72"/>
      <c r="L173" s="72"/>
      <c r="M173" s="72"/>
      <c r="N173" s="72"/>
      <c r="O173" s="72"/>
      <c r="P173" s="72"/>
      <c r="Q173" s="63">
        <f t="shared" si="11"/>
        <v>1899.31</v>
      </c>
      <c r="R173" s="72">
        <f t="shared" si="6"/>
        <v>0</v>
      </c>
      <c r="S173" s="63">
        <f t="shared" si="7"/>
        <v>1899.31</v>
      </c>
    </row>
    <row r="174" spans="1:19" x14ac:dyDescent="0.25">
      <c r="A174" s="116" t="s">
        <v>1315</v>
      </c>
      <c r="B174" s="116" t="s">
        <v>1316</v>
      </c>
      <c r="C174" s="117">
        <v>109</v>
      </c>
      <c r="D174" s="91" t="s">
        <v>1317</v>
      </c>
      <c r="E174" s="91" t="s">
        <v>19</v>
      </c>
      <c r="F174" s="121">
        <v>41382</v>
      </c>
      <c r="G174" s="118">
        <f>252.45+81.56</f>
        <v>334.01</v>
      </c>
      <c r="H174" s="72"/>
      <c r="I174" s="72"/>
      <c r="J174" s="72"/>
      <c r="K174" s="72"/>
      <c r="L174" s="72"/>
      <c r="M174" s="72"/>
      <c r="N174" s="72"/>
      <c r="O174" s="72"/>
      <c r="P174" s="72"/>
      <c r="Q174" s="63">
        <f t="shared" si="11"/>
        <v>1409.3400000000001</v>
      </c>
      <c r="R174" s="72">
        <f t="shared" si="6"/>
        <v>0</v>
      </c>
      <c r="S174" s="63">
        <f t="shared" si="7"/>
        <v>1409.3400000000001</v>
      </c>
    </row>
    <row r="175" spans="1:19" x14ac:dyDescent="0.25">
      <c r="A175" s="116" t="s">
        <v>1315</v>
      </c>
      <c r="B175" s="116" t="s">
        <v>1316</v>
      </c>
      <c r="C175" s="117">
        <v>109</v>
      </c>
      <c r="D175" s="91" t="s">
        <v>1318</v>
      </c>
      <c r="E175" s="91" t="s">
        <v>19</v>
      </c>
      <c r="F175" s="121">
        <v>41382</v>
      </c>
      <c r="G175" s="118">
        <f>255.21+121.82+195.44+135.46+144.06</f>
        <v>851.99</v>
      </c>
      <c r="H175" s="72"/>
      <c r="I175" s="72"/>
      <c r="J175" s="72"/>
      <c r="K175" s="72"/>
      <c r="L175" s="72"/>
      <c r="M175" s="72"/>
      <c r="N175" s="72"/>
      <c r="O175" s="72"/>
      <c r="P175" s="72"/>
      <c r="Q175" s="63">
        <f t="shared" si="11"/>
        <v>334.01</v>
      </c>
      <c r="R175" s="72">
        <f t="shared" si="6"/>
        <v>0</v>
      </c>
      <c r="S175" s="63">
        <f t="shared" si="7"/>
        <v>334.01</v>
      </c>
    </row>
    <row r="176" spans="1:19" x14ac:dyDescent="0.25">
      <c r="A176" s="116" t="s">
        <v>1319</v>
      </c>
      <c r="B176" s="116" t="s">
        <v>1320</v>
      </c>
      <c r="C176" s="117">
        <v>110</v>
      </c>
      <c r="D176" s="91" t="s">
        <v>1321</v>
      </c>
      <c r="E176" s="91" t="s">
        <v>19</v>
      </c>
      <c r="F176" s="121">
        <v>41400</v>
      </c>
      <c r="G176" s="118">
        <f>6284.89+122.39+122.39+127.88+122.39+240.34+122.39+10000+137.49</f>
        <v>17280.160000000003</v>
      </c>
      <c r="H176" s="72"/>
      <c r="I176" s="72"/>
      <c r="J176" s="72"/>
      <c r="K176" s="120">
        <v>8880</v>
      </c>
      <c r="L176" s="72"/>
      <c r="M176" s="72"/>
      <c r="N176" s="72"/>
      <c r="O176" s="72"/>
      <c r="P176" s="72"/>
      <c r="Q176" s="63">
        <f t="shared" si="11"/>
        <v>9731.99</v>
      </c>
      <c r="R176" s="72">
        <f t="shared" si="6"/>
        <v>0</v>
      </c>
      <c r="S176" s="63">
        <f t="shared" si="7"/>
        <v>9731.99</v>
      </c>
    </row>
    <row r="177" spans="1:19" x14ac:dyDescent="0.25">
      <c r="A177" s="116" t="s">
        <v>1322</v>
      </c>
      <c r="B177" s="116" t="s">
        <v>1323</v>
      </c>
      <c r="C177" s="117">
        <v>111</v>
      </c>
      <c r="D177" s="91" t="s">
        <v>1324</v>
      </c>
      <c r="E177" s="91" t="s">
        <v>19</v>
      </c>
      <c r="F177" s="121">
        <v>41376</v>
      </c>
      <c r="G177" s="118">
        <f>238+610+783.7</f>
        <v>1631.7</v>
      </c>
      <c r="H177" s="72"/>
      <c r="I177" s="72"/>
      <c r="J177" s="72"/>
      <c r="K177" s="72"/>
      <c r="L177" s="72"/>
      <c r="M177" s="72"/>
      <c r="N177" s="72"/>
      <c r="O177" s="72"/>
      <c r="P177" s="72"/>
      <c r="Q177" s="63">
        <f t="shared" si="11"/>
        <v>17280.160000000003</v>
      </c>
      <c r="R177" s="72">
        <f t="shared" si="6"/>
        <v>0</v>
      </c>
      <c r="S177" s="63">
        <f t="shared" si="7"/>
        <v>17280.160000000003</v>
      </c>
    </row>
    <row r="178" spans="1:19" x14ac:dyDescent="0.25">
      <c r="A178" s="116" t="s">
        <v>1322</v>
      </c>
      <c r="B178" s="116" t="s">
        <v>1323</v>
      </c>
      <c r="C178" s="117">
        <v>111</v>
      </c>
      <c r="D178" s="91" t="s">
        <v>1325</v>
      </c>
      <c r="E178" s="91" t="s">
        <v>19</v>
      </c>
      <c r="F178" s="121">
        <v>41376</v>
      </c>
      <c r="G178" s="118">
        <f>745.03</f>
        <v>745.03</v>
      </c>
      <c r="H178" s="72"/>
      <c r="I178" s="72"/>
      <c r="J178" s="72"/>
      <c r="K178" s="72"/>
      <c r="L178" s="72"/>
      <c r="M178" s="72"/>
      <c r="N178" s="72"/>
      <c r="O178" s="72"/>
      <c r="P178" s="72"/>
      <c r="Q178" s="63">
        <f t="shared" si="11"/>
        <v>1631.7</v>
      </c>
      <c r="R178" s="72">
        <f t="shared" si="6"/>
        <v>0</v>
      </c>
      <c r="S178" s="63">
        <f t="shared" si="7"/>
        <v>1631.7</v>
      </c>
    </row>
    <row r="179" spans="1:19" x14ac:dyDescent="0.25">
      <c r="A179" s="116" t="s">
        <v>1322</v>
      </c>
      <c r="B179" s="116" t="s">
        <v>1323</v>
      </c>
      <c r="C179" s="117">
        <v>111</v>
      </c>
      <c r="D179" s="91" t="s">
        <v>1326</v>
      </c>
      <c r="E179" s="91" t="s">
        <v>19</v>
      </c>
      <c r="F179" s="121">
        <v>41376</v>
      </c>
      <c r="G179" s="118">
        <f>460.44</f>
        <v>460.44</v>
      </c>
      <c r="H179" s="72"/>
      <c r="I179" s="72"/>
      <c r="J179" s="72"/>
      <c r="K179" s="72"/>
      <c r="L179" s="72"/>
      <c r="M179" s="72"/>
      <c r="N179" s="72"/>
      <c r="O179" s="72"/>
      <c r="P179" s="72"/>
      <c r="Q179" s="63">
        <f t="shared" si="11"/>
        <v>745.03</v>
      </c>
      <c r="R179" s="72">
        <f t="shared" si="6"/>
        <v>0</v>
      </c>
      <c r="S179" s="63">
        <f t="shared" si="7"/>
        <v>745.03</v>
      </c>
    </row>
    <row r="180" spans="1:19" x14ac:dyDescent="0.25">
      <c r="A180" s="116" t="s">
        <v>1322</v>
      </c>
      <c r="B180" s="116" t="s">
        <v>1323</v>
      </c>
      <c r="C180" s="117">
        <v>111</v>
      </c>
      <c r="D180" s="91" t="s">
        <v>1327</v>
      </c>
      <c r="E180" s="91" t="s">
        <v>19</v>
      </c>
      <c r="F180" s="121">
        <v>41376</v>
      </c>
      <c r="G180" s="118">
        <f>39.2+26.3+444.8</f>
        <v>510.3</v>
      </c>
      <c r="H180" s="72"/>
      <c r="I180" s="72"/>
      <c r="J180" s="72"/>
      <c r="K180" s="72"/>
      <c r="L180" s="72"/>
      <c r="M180" s="72"/>
      <c r="N180" s="72"/>
      <c r="O180" s="72"/>
      <c r="P180" s="72"/>
      <c r="Q180" s="63">
        <f t="shared" si="11"/>
        <v>460.44</v>
      </c>
      <c r="R180" s="72">
        <f t="shared" si="6"/>
        <v>0</v>
      </c>
      <c r="S180" s="63">
        <f t="shared" si="7"/>
        <v>460.44</v>
      </c>
    </row>
    <row r="181" spans="1:19" x14ac:dyDescent="0.25">
      <c r="A181" s="116" t="s">
        <v>1322</v>
      </c>
      <c r="B181" s="116" t="s">
        <v>1323</v>
      </c>
      <c r="C181" s="117">
        <v>111</v>
      </c>
      <c r="D181" s="91" t="s">
        <v>1328</v>
      </c>
      <c r="E181" s="91" t="s">
        <v>19</v>
      </c>
      <c r="F181" s="121">
        <v>41376</v>
      </c>
      <c r="G181" s="77"/>
      <c r="H181" s="72"/>
      <c r="I181" s="72"/>
      <c r="J181" s="72"/>
      <c r="K181" s="72"/>
      <c r="L181" s="72"/>
      <c r="M181" s="72"/>
      <c r="N181" s="72"/>
      <c r="O181" s="72"/>
      <c r="P181" s="72"/>
      <c r="Q181" s="63">
        <f t="shared" si="11"/>
        <v>510.3</v>
      </c>
      <c r="R181" s="72">
        <f t="shared" si="6"/>
        <v>0</v>
      </c>
      <c r="S181" s="63">
        <f t="shared" si="7"/>
        <v>510.3</v>
      </c>
    </row>
    <row r="182" spans="1:19" x14ac:dyDescent="0.25">
      <c r="A182" s="116" t="s">
        <v>1322</v>
      </c>
      <c r="B182" s="116" t="s">
        <v>1323</v>
      </c>
      <c r="C182" s="117">
        <v>111</v>
      </c>
      <c r="D182" s="91" t="s">
        <v>1329</v>
      </c>
      <c r="E182" s="91" t="s">
        <v>19</v>
      </c>
      <c r="F182" s="121">
        <v>41376</v>
      </c>
      <c r="G182" s="118">
        <f>143.81+301.7+143.81+301.7+173.46+91.61</f>
        <v>1156.0899999999999</v>
      </c>
      <c r="H182" s="72"/>
      <c r="I182" s="72"/>
      <c r="J182" s="72"/>
      <c r="K182" s="72"/>
      <c r="L182" s="72"/>
      <c r="M182" s="72"/>
      <c r="N182" s="72"/>
      <c r="O182" s="72"/>
      <c r="P182" s="72"/>
      <c r="Q182" s="63">
        <f t="shared" ref="Q182:Q187" si="12">+G181+I182+K182+M182+O182</f>
        <v>0</v>
      </c>
      <c r="R182" s="72">
        <f>+H182+J182+L182+N182+P182</f>
        <v>0</v>
      </c>
      <c r="S182" s="63">
        <f>+Q182+R182</f>
        <v>0</v>
      </c>
    </row>
    <row r="183" spans="1:19" x14ac:dyDescent="0.25">
      <c r="A183" s="116" t="s">
        <v>1322</v>
      </c>
      <c r="B183" s="116" t="s">
        <v>1323</v>
      </c>
      <c r="C183" s="117">
        <v>111</v>
      </c>
      <c r="D183" s="91" t="s">
        <v>1330</v>
      </c>
      <c r="E183" s="91" t="s">
        <v>19</v>
      </c>
      <c r="F183" s="121">
        <v>41376</v>
      </c>
      <c r="G183" s="118">
        <f>274.23</f>
        <v>274.23</v>
      </c>
      <c r="H183" s="72"/>
      <c r="I183" s="72"/>
      <c r="J183" s="72"/>
      <c r="K183" s="72"/>
      <c r="L183" s="72"/>
      <c r="M183" s="72"/>
      <c r="N183" s="72"/>
      <c r="O183" s="72"/>
      <c r="P183" s="72"/>
      <c r="Q183" s="63">
        <f t="shared" si="12"/>
        <v>1156.0899999999999</v>
      </c>
      <c r="R183" s="72">
        <f t="shared" si="6"/>
        <v>0</v>
      </c>
      <c r="S183" s="63">
        <f t="shared" si="7"/>
        <v>1156.0899999999999</v>
      </c>
    </row>
    <row r="184" spans="1:19" x14ac:dyDescent="0.25">
      <c r="A184" s="116" t="s">
        <v>1331</v>
      </c>
      <c r="B184" s="116" t="s">
        <v>1332</v>
      </c>
      <c r="C184" s="117">
        <v>112</v>
      </c>
      <c r="D184" s="91" t="s">
        <v>1333</v>
      </c>
      <c r="E184" s="91" t="s">
        <v>19</v>
      </c>
      <c r="F184" s="121">
        <v>41397</v>
      </c>
      <c r="G184" s="118">
        <f>411.01+48.77</f>
        <v>459.78</v>
      </c>
      <c r="H184" s="72"/>
      <c r="I184" s="72"/>
      <c r="J184" s="72"/>
      <c r="K184" s="72"/>
      <c r="L184" s="72"/>
      <c r="M184" s="72"/>
      <c r="N184" s="72"/>
      <c r="O184" s="72"/>
      <c r="P184" s="72"/>
      <c r="Q184" s="63">
        <f t="shared" si="12"/>
        <v>274.23</v>
      </c>
      <c r="R184" s="72">
        <f t="shared" si="6"/>
        <v>0</v>
      </c>
      <c r="S184" s="63">
        <f t="shared" si="7"/>
        <v>274.23</v>
      </c>
    </row>
    <row r="185" spans="1:19" x14ac:dyDescent="0.25">
      <c r="A185" s="116" t="s">
        <v>1334</v>
      </c>
      <c r="B185" s="116" t="s">
        <v>1335</v>
      </c>
      <c r="C185" s="117">
        <v>113</v>
      </c>
      <c r="D185" s="91" t="s">
        <v>1336</v>
      </c>
      <c r="E185" s="91" t="s">
        <v>19</v>
      </c>
      <c r="F185" s="121">
        <v>41397</v>
      </c>
      <c r="G185" s="118">
        <f>124.75</f>
        <v>124.75</v>
      </c>
      <c r="H185" s="72"/>
      <c r="I185" s="72"/>
      <c r="J185" s="72"/>
      <c r="K185" s="72"/>
      <c r="L185" s="72"/>
      <c r="M185" s="72"/>
      <c r="N185" s="72"/>
      <c r="O185" s="72"/>
      <c r="P185" s="72"/>
      <c r="Q185" s="63">
        <f t="shared" si="12"/>
        <v>459.78</v>
      </c>
      <c r="R185" s="72">
        <f t="shared" si="6"/>
        <v>0</v>
      </c>
      <c r="S185" s="63">
        <f t="shared" si="7"/>
        <v>459.78</v>
      </c>
    </row>
    <row r="186" spans="1:19" x14ac:dyDescent="0.25">
      <c r="A186" s="116" t="s">
        <v>1337</v>
      </c>
      <c r="B186" s="116" t="s">
        <v>1338</v>
      </c>
      <c r="C186" s="117">
        <v>114</v>
      </c>
      <c r="D186" s="91" t="s">
        <v>1339</v>
      </c>
      <c r="E186" s="91" t="s">
        <v>19</v>
      </c>
      <c r="F186" s="121">
        <v>41831</v>
      </c>
      <c r="G186" s="77">
        <v>2007.35</v>
      </c>
      <c r="H186" s="72"/>
      <c r="I186" s="72"/>
      <c r="J186" s="72"/>
      <c r="K186" s="72"/>
      <c r="L186" s="72"/>
      <c r="M186" s="72"/>
      <c r="N186" s="72"/>
      <c r="O186" s="72"/>
      <c r="P186" s="72"/>
      <c r="Q186" s="63">
        <f t="shared" si="12"/>
        <v>124.75</v>
      </c>
      <c r="R186" s="72">
        <f t="shared" si="6"/>
        <v>0</v>
      </c>
      <c r="S186" s="63">
        <f t="shared" si="7"/>
        <v>124.75</v>
      </c>
    </row>
    <row r="187" spans="1:19" x14ac:dyDescent="0.25">
      <c r="A187" s="116" t="s">
        <v>1340</v>
      </c>
      <c r="B187" s="116" t="s">
        <v>1341</v>
      </c>
      <c r="C187" s="117">
        <v>115</v>
      </c>
      <c r="D187" s="91" t="s">
        <v>1342</v>
      </c>
      <c r="E187" s="91" t="s">
        <v>19</v>
      </c>
      <c r="F187" s="121">
        <v>41425</v>
      </c>
      <c r="G187" s="118">
        <f>188.54</f>
        <v>188.54</v>
      </c>
      <c r="H187" s="72"/>
      <c r="I187" s="72"/>
      <c r="J187" s="72"/>
      <c r="K187" s="72"/>
      <c r="L187" s="72"/>
      <c r="M187" s="72"/>
      <c r="N187" s="72"/>
      <c r="O187" s="72"/>
      <c r="P187" s="72"/>
      <c r="Q187" s="63">
        <f t="shared" si="12"/>
        <v>2007.35</v>
      </c>
      <c r="R187" s="72">
        <f>+H187+J187+L187+N187+P187</f>
        <v>0</v>
      </c>
      <c r="S187" s="63">
        <f>+Q187+R187</f>
        <v>2007.35</v>
      </c>
    </row>
    <row r="188" spans="1:19" x14ac:dyDescent="0.25">
      <c r="A188" s="116" t="s">
        <v>1343</v>
      </c>
      <c r="B188" s="116" t="s">
        <v>1344</v>
      </c>
      <c r="C188" s="117">
        <v>116</v>
      </c>
      <c r="D188" s="91" t="s">
        <v>1345</v>
      </c>
      <c r="E188" s="91" t="s">
        <v>19</v>
      </c>
      <c r="F188" s="121">
        <v>41460</v>
      </c>
      <c r="G188" s="118">
        <f>98</f>
        <v>98</v>
      </c>
      <c r="H188" s="72"/>
      <c r="I188" s="72"/>
      <c r="J188" s="72"/>
      <c r="K188" s="72"/>
      <c r="L188" s="72"/>
      <c r="M188" s="72"/>
      <c r="N188" s="72"/>
      <c r="O188" s="72"/>
      <c r="P188" s="72"/>
      <c r="Q188" s="63">
        <f t="shared" ref="Q188:Q204" si="13">+G187+I188+K188+M188+O188</f>
        <v>188.54</v>
      </c>
      <c r="R188" s="72">
        <f t="shared" si="6"/>
        <v>0</v>
      </c>
      <c r="S188" s="63">
        <f t="shared" si="7"/>
        <v>188.54</v>
      </c>
    </row>
    <row r="189" spans="1:19" x14ac:dyDescent="0.25">
      <c r="A189" s="116" t="s">
        <v>1346</v>
      </c>
      <c r="B189" s="116" t="s">
        <v>1347</v>
      </c>
      <c r="C189" s="117">
        <v>117</v>
      </c>
      <c r="D189" s="91" t="s">
        <v>1348</v>
      </c>
      <c r="E189" s="91" t="s">
        <v>19</v>
      </c>
      <c r="F189" s="121">
        <v>41401</v>
      </c>
      <c r="G189" s="118">
        <f>312.28</f>
        <v>312.27999999999997</v>
      </c>
      <c r="H189" s="72"/>
      <c r="I189" s="72"/>
      <c r="J189" s="72"/>
      <c r="K189" s="72"/>
      <c r="L189" s="72"/>
      <c r="M189" s="72"/>
      <c r="N189" s="72"/>
      <c r="O189" s="72"/>
      <c r="P189" s="72"/>
      <c r="Q189" s="63">
        <f t="shared" si="13"/>
        <v>98</v>
      </c>
      <c r="R189" s="72">
        <f t="shared" si="6"/>
        <v>0</v>
      </c>
      <c r="S189" s="63">
        <f t="shared" si="7"/>
        <v>98</v>
      </c>
    </row>
    <row r="190" spans="1:19" x14ac:dyDescent="0.25">
      <c r="A190" s="116" t="s">
        <v>1349</v>
      </c>
      <c r="B190" s="116" t="s">
        <v>1350</v>
      </c>
      <c r="C190" s="117">
        <v>118</v>
      </c>
      <c r="D190" s="91" t="s">
        <v>1351</v>
      </c>
      <c r="E190" s="91" t="s">
        <v>19</v>
      </c>
      <c r="F190" s="121">
        <v>41382</v>
      </c>
      <c r="G190" s="118">
        <f>26.7+321.14+49</f>
        <v>396.84</v>
      </c>
      <c r="H190" s="72"/>
      <c r="I190" s="120">
        <v>250</v>
      </c>
      <c r="J190" s="72"/>
      <c r="K190" s="72"/>
      <c r="L190" s="72"/>
      <c r="M190" s="72"/>
      <c r="N190" s="72"/>
      <c r="O190" s="72"/>
      <c r="P190" s="72"/>
      <c r="Q190" s="63">
        <f t="shared" si="13"/>
        <v>562.28</v>
      </c>
      <c r="R190" s="72">
        <f t="shared" si="6"/>
        <v>0</v>
      </c>
      <c r="S190" s="63">
        <f t="shared" si="7"/>
        <v>562.28</v>
      </c>
    </row>
    <row r="191" spans="1:19" x14ac:dyDescent="0.25">
      <c r="A191" s="116" t="s">
        <v>1349</v>
      </c>
      <c r="B191" s="116" t="s">
        <v>1350</v>
      </c>
      <c r="C191" s="117">
        <v>118</v>
      </c>
      <c r="D191" s="91" t="s">
        <v>1352</v>
      </c>
      <c r="E191" s="91" t="s">
        <v>19</v>
      </c>
      <c r="F191" s="121">
        <v>41382</v>
      </c>
      <c r="G191" s="118">
        <f>238+15.54+43.5+219.71+51.51+103.6</f>
        <v>671.86</v>
      </c>
      <c r="H191" s="72"/>
      <c r="I191" s="120">
        <v>250</v>
      </c>
      <c r="J191" s="72"/>
      <c r="K191" s="72"/>
      <c r="L191" s="72"/>
      <c r="M191" s="72"/>
      <c r="N191" s="72"/>
      <c r="O191" s="72"/>
      <c r="P191" s="72"/>
      <c r="Q191" s="63">
        <f t="shared" si="13"/>
        <v>646.83999999999992</v>
      </c>
      <c r="R191" s="72">
        <f t="shared" si="6"/>
        <v>0</v>
      </c>
      <c r="S191" s="63">
        <f t="shared" si="7"/>
        <v>646.83999999999992</v>
      </c>
    </row>
    <row r="192" spans="1:19" x14ac:dyDescent="0.25">
      <c r="A192" s="116" t="s">
        <v>1353</v>
      </c>
      <c r="B192" s="116" t="s">
        <v>1354</v>
      </c>
      <c r="C192" s="117">
        <v>119</v>
      </c>
      <c r="D192" s="91" t="s">
        <v>1355</v>
      </c>
      <c r="E192" s="91" t="s">
        <v>19</v>
      </c>
      <c r="F192" s="121">
        <v>41397</v>
      </c>
      <c r="G192" s="118">
        <f>103.09+47.2+47.2</f>
        <v>197.49</v>
      </c>
      <c r="H192" s="72"/>
      <c r="I192" s="120">
        <f>125+975</f>
        <v>1100</v>
      </c>
      <c r="J192" s="72"/>
      <c r="K192" s="72"/>
      <c r="L192" s="72"/>
      <c r="M192" s="72"/>
      <c r="N192" s="72"/>
      <c r="O192" s="72"/>
      <c r="P192" s="72"/>
      <c r="Q192" s="63">
        <f t="shared" si="13"/>
        <v>1771.8600000000001</v>
      </c>
      <c r="R192" s="72">
        <f t="shared" si="6"/>
        <v>0</v>
      </c>
      <c r="S192" s="63">
        <f t="shared" si="7"/>
        <v>1771.8600000000001</v>
      </c>
    </row>
    <row r="193" spans="1:19" x14ac:dyDescent="0.25">
      <c r="A193" s="116" t="s">
        <v>1356</v>
      </c>
      <c r="B193" s="116" t="s">
        <v>1357</v>
      </c>
      <c r="C193" s="117">
        <v>120</v>
      </c>
      <c r="D193" s="91" t="s">
        <v>1358</v>
      </c>
      <c r="E193" s="91" t="s">
        <v>19</v>
      </c>
      <c r="F193" s="121">
        <v>41376</v>
      </c>
      <c r="G193" s="118">
        <f>804.4+321.3</f>
        <v>1125.7</v>
      </c>
      <c r="H193" s="72"/>
      <c r="I193" s="120">
        <v>1500</v>
      </c>
      <c r="J193" s="72"/>
      <c r="K193" s="72"/>
      <c r="L193" s="72"/>
      <c r="M193" s="72"/>
      <c r="N193" s="72"/>
      <c r="O193" s="72"/>
      <c r="P193" s="72"/>
      <c r="Q193" s="63">
        <f t="shared" si="13"/>
        <v>1697.49</v>
      </c>
      <c r="R193" s="72">
        <f t="shared" si="6"/>
        <v>0</v>
      </c>
      <c r="S193" s="63">
        <f t="shared" si="7"/>
        <v>1697.49</v>
      </c>
    </row>
    <row r="194" spans="1:19" x14ac:dyDescent="0.25">
      <c r="A194" s="116" t="s">
        <v>1356</v>
      </c>
      <c r="B194" s="116" t="s">
        <v>1357</v>
      </c>
      <c r="C194" s="117">
        <v>120</v>
      </c>
      <c r="D194" s="91" t="s">
        <v>1359</v>
      </c>
      <c r="E194" s="91" t="s">
        <v>19</v>
      </c>
      <c r="F194" s="121">
        <v>41376</v>
      </c>
      <c r="G194" s="118">
        <f>753.7+101.79+436.6</f>
        <v>1292.0900000000001</v>
      </c>
      <c r="H194" s="72"/>
      <c r="I194" s="120">
        <v>1500</v>
      </c>
      <c r="J194" s="72"/>
      <c r="K194" s="72"/>
      <c r="L194" s="72"/>
      <c r="M194" s="72"/>
      <c r="N194" s="72"/>
      <c r="O194" s="72"/>
      <c r="P194" s="72"/>
      <c r="Q194" s="63">
        <f t="shared" si="13"/>
        <v>2625.7</v>
      </c>
      <c r="R194" s="72">
        <f t="shared" si="6"/>
        <v>0</v>
      </c>
      <c r="S194" s="63">
        <f t="shared" si="7"/>
        <v>2625.7</v>
      </c>
    </row>
    <row r="195" spans="1:19" x14ac:dyDescent="0.25">
      <c r="A195" s="116" t="s">
        <v>1356</v>
      </c>
      <c r="B195" s="116" t="s">
        <v>1357</v>
      </c>
      <c r="C195" s="117">
        <v>120</v>
      </c>
      <c r="D195" s="91" t="s">
        <v>1360</v>
      </c>
      <c r="E195" s="91" t="s">
        <v>19</v>
      </c>
      <c r="F195" s="121">
        <v>41376</v>
      </c>
      <c r="G195" s="118">
        <f>48.9+64.9+436.6+64.9</f>
        <v>615.30000000000007</v>
      </c>
      <c r="H195" s="72"/>
      <c r="I195" s="120">
        <v>750</v>
      </c>
      <c r="J195" s="72"/>
      <c r="K195" s="72"/>
      <c r="L195" s="72"/>
      <c r="M195" s="72"/>
      <c r="N195" s="72"/>
      <c r="O195" s="72"/>
      <c r="P195" s="72"/>
      <c r="Q195" s="63">
        <f t="shared" si="13"/>
        <v>2042.0900000000001</v>
      </c>
      <c r="R195" s="72">
        <f t="shared" si="6"/>
        <v>0</v>
      </c>
      <c r="S195" s="63">
        <f t="shared" si="7"/>
        <v>2042.0900000000001</v>
      </c>
    </row>
    <row r="196" spans="1:19" x14ac:dyDescent="0.25">
      <c r="A196" s="116" t="s">
        <v>1356</v>
      </c>
      <c r="B196" s="116" t="s">
        <v>1357</v>
      </c>
      <c r="C196" s="117">
        <v>120</v>
      </c>
      <c r="D196" s="91" t="s">
        <v>1361</v>
      </c>
      <c r="E196" s="91" t="s">
        <v>19</v>
      </c>
      <c r="F196" s="121">
        <v>41376</v>
      </c>
      <c r="G196" s="118">
        <f>1336.1+93.11+436.6+49.1</f>
        <v>1914.9099999999999</v>
      </c>
      <c r="H196" s="72"/>
      <c r="I196" s="120">
        <v>2250</v>
      </c>
      <c r="J196" s="72"/>
      <c r="K196" s="72"/>
      <c r="L196" s="72"/>
      <c r="M196" s="72"/>
      <c r="N196" s="72"/>
      <c r="O196" s="72"/>
      <c r="P196" s="72"/>
      <c r="Q196" s="63">
        <f t="shared" si="13"/>
        <v>2865.3</v>
      </c>
      <c r="R196" s="72">
        <f t="shared" si="6"/>
        <v>0</v>
      </c>
      <c r="S196" s="63">
        <f t="shared" si="7"/>
        <v>2865.3</v>
      </c>
    </row>
    <row r="197" spans="1:19" x14ac:dyDescent="0.25">
      <c r="A197" s="116" t="s">
        <v>1362</v>
      </c>
      <c r="B197" s="116" t="s">
        <v>1363</v>
      </c>
      <c r="C197" s="117">
        <v>121</v>
      </c>
      <c r="D197" s="91" t="s">
        <v>1364</v>
      </c>
      <c r="E197" s="91" t="s">
        <v>19</v>
      </c>
      <c r="F197" s="121">
        <v>41401</v>
      </c>
      <c r="G197" s="118">
        <f>158.47+124.76+904.29</f>
        <v>1187.52</v>
      </c>
      <c r="H197" s="72"/>
      <c r="I197" s="72"/>
      <c r="J197" s="72"/>
      <c r="K197" s="72"/>
      <c r="L197" s="72"/>
      <c r="M197" s="72"/>
      <c r="N197" s="72"/>
      <c r="O197" s="72"/>
      <c r="P197" s="72"/>
      <c r="Q197" s="63">
        <f t="shared" si="13"/>
        <v>1914.9099999999999</v>
      </c>
      <c r="R197" s="72">
        <f t="shared" si="6"/>
        <v>0</v>
      </c>
      <c r="S197" s="63">
        <f t="shared" si="7"/>
        <v>1914.9099999999999</v>
      </c>
    </row>
    <row r="198" spans="1:19" x14ac:dyDescent="0.25">
      <c r="A198" s="116" t="s">
        <v>1365</v>
      </c>
      <c r="B198" s="116" t="s">
        <v>1366</v>
      </c>
      <c r="C198" s="117">
        <v>122</v>
      </c>
      <c r="D198" s="91" t="s">
        <v>1367</v>
      </c>
      <c r="E198" s="91" t="s">
        <v>19</v>
      </c>
      <c r="F198" s="121">
        <v>41396</v>
      </c>
      <c r="G198" s="118">
        <f>238</f>
        <v>238</v>
      </c>
      <c r="H198" s="72"/>
      <c r="I198" s="72"/>
      <c r="J198" s="72"/>
      <c r="K198" s="72"/>
      <c r="L198" s="72"/>
      <c r="M198" s="72"/>
      <c r="N198" s="72"/>
      <c r="O198" s="72"/>
      <c r="P198" s="72"/>
      <c r="Q198" s="63">
        <f t="shared" si="13"/>
        <v>1187.52</v>
      </c>
      <c r="R198" s="72">
        <f t="shared" si="6"/>
        <v>0</v>
      </c>
      <c r="S198" s="63">
        <f t="shared" si="7"/>
        <v>1187.52</v>
      </c>
    </row>
    <row r="199" spans="1:19" x14ac:dyDescent="0.25">
      <c r="A199" s="116" t="s">
        <v>1368</v>
      </c>
      <c r="B199" s="116" t="s">
        <v>1369</v>
      </c>
      <c r="C199" s="117">
        <v>123</v>
      </c>
      <c r="D199" s="91" t="s">
        <v>1370</v>
      </c>
      <c r="E199" s="91" t="s">
        <v>19</v>
      </c>
      <c r="F199" s="121">
        <v>41460</v>
      </c>
      <c r="G199" s="118">
        <f>70.5</f>
        <v>70.5</v>
      </c>
      <c r="H199" s="72"/>
      <c r="I199" s="72"/>
      <c r="J199" s="72"/>
      <c r="K199" s="72"/>
      <c r="L199" s="72"/>
      <c r="M199" s="72"/>
      <c r="N199" s="72"/>
      <c r="O199" s="72"/>
      <c r="P199" s="72"/>
      <c r="Q199" s="63">
        <f t="shared" si="13"/>
        <v>238</v>
      </c>
      <c r="R199" s="72">
        <f t="shared" si="6"/>
        <v>0</v>
      </c>
      <c r="S199" s="63">
        <f t="shared" si="7"/>
        <v>238</v>
      </c>
    </row>
    <row r="200" spans="1:19" x14ac:dyDescent="0.25">
      <c r="A200" s="116" t="s">
        <v>1371</v>
      </c>
      <c r="B200" s="116" t="s">
        <v>1372</v>
      </c>
      <c r="C200" s="117">
        <v>124</v>
      </c>
      <c r="D200" s="91" t="s">
        <v>1373</v>
      </c>
      <c r="E200" s="91" t="s">
        <v>19</v>
      </c>
      <c r="F200" s="121">
        <v>41400</v>
      </c>
      <c r="G200" s="118">
        <f>100.99+311+213.23+148.98+289.99</f>
        <v>1064.19</v>
      </c>
      <c r="H200" s="73"/>
      <c r="I200" s="120">
        <v>1500</v>
      </c>
      <c r="J200" s="73"/>
      <c r="K200" s="73"/>
      <c r="L200" s="73"/>
      <c r="M200" s="73"/>
      <c r="N200" s="73"/>
      <c r="O200" s="73"/>
      <c r="P200" s="73"/>
      <c r="Q200" s="63">
        <f t="shared" si="13"/>
        <v>1570.5</v>
      </c>
      <c r="R200" s="72">
        <f t="shared" si="6"/>
        <v>0</v>
      </c>
      <c r="S200" s="63">
        <f t="shared" si="7"/>
        <v>1570.5</v>
      </c>
    </row>
    <row r="201" spans="1:19" x14ac:dyDescent="0.25">
      <c r="A201" s="116" t="s">
        <v>1374</v>
      </c>
      <c r="B201" s="116" t="s">
        <v>1375</v>
      </c>
      <c r="C201" s="117">
        <v>125</v>
      </c>
      <c r="D201" s="91" t="s">
        <v>1376</v>
      </c>
      <c r="E201" s="91" t="s">
        <v>19</v>
      </c>
      <c r="F201" s="121">
        <v>41396</v>
      </c>
      <c r="G201" s="118">
        <f>238+86.28+31.15+17.25+18.57+109.59+94.4+64.9+554.6+554.6+41.71+94.4+873.07</f>
        <v>2778.52</v>
      </c>
      <c r="H201" s="72"/>
      <c r="I201" s="120">
        <v>1500</v>
      </c>
      <c r="J201" s="72"/>
      <c r="K201" s="72"/>
      <c r="L201" s="72"/>
      <c r="M201" s="72"/>
      <c r="N201" s="72"/>
      <c r="O201" s="72"/>
      <c r="P201" s="72"/>
      <c r="Q201" s="63">
        <f t="shared" si="13"/>
        <v>2564.19</v>
      </c>
      <c r="R201" s="72">
        <f t="shared" si="6"/>
        <v>0</v>
      </c>
      <c r="S201" s="63">
        <f t="shared" si="7"/>
        <v>2564.19</v>
      </c>
    </row>
    <row r="202" spans="1:19" x14ac:dyDescent="0.25">
      <c r="A202" s="116" t="s">
        <v>1377</v>
      </c>
      <c r="B202" s="116" t="s">
        <v>1378</v>
      </c>
      <c r="C202" s="117">
        <v>126</v>
      </c>
      <c r="D202" s="91" t="s">
        <v>1379</v>
      </c>
      <c r="E202" s="91" t="s">
        <v>19</v>
      </c>
      <c r="F202" s="121">
        <v>41396</v>
      </c>
      <c r="G202" s="118">
        <f>54.48</f>
        <v>54.48</v>
      </c>
      <c r="H202" s="72"/>
      <c r="I202" s="73"/>
      <c r="J202" s="72"/>
      <c r="K202" s="72"/>
      <c r="L202" s="72"/>
      <c r="M202" s="72"/>
      <c r="N202" s="72"/>
      <c r="O202" s="72"/>
      <c r="P202" s="72"/>
      <c r="Q202" s="63">
        <f t="shared" si="13"/>
        <v>2778.52</v>
      </c>
      <c r="R202" s="72">
        <f t="shared" si="6"/>
        <v>0</v>
      </c>
      <c r="S202" s="63">
        <f t="shared" si="7"/>
        <v>2778.52</v>
      </c>
    </row>
    <row r="203" spans="1:19" x14ac:dyDescent="0.25">
      <c r="A203" s="116" t="s">
        <v>1377</v>
      </c>
      <c r="B203" s="116" t="s">
        <v>1378</v>
      </c>
      <c r="C203" s="117">
        <v>126</v>
      </c>
      <c r="D203" s="91" t="s">
        <v>1380</v>
      </c>
      <c r="E203" s="91" t="s">
        <v>19</v>
      </c>
      <c r="F203" s="121">
        <v>41396</v>
      </c>
      <c r="G203" s="118">
        <f>814.4+88.38+104.6+41.3</f>
        <v>1048.68</v>
      </c>
      <c r="H203" s="72"/>
      <c r="I203" s="120">
        <f>475</f>
        <v>475</v>
      </c>
      <c r="J203" s="72"/>
      <c r="K203" s="72"/>
      <c r="L203" s="72"/>
      <c r="M203" s="72"/>
      <c r="N203" s="72"/>
      <c r="O203" s="72"/>
      <c r="P203" s="72"/>
      <c r="Q203" s="63">
        <f t="shared" si="13"/>
        <v>529.48</v>
      </c>
      <c r="R203" s="72">
        <f t="shared" si="6"/>
        <v>0</v>
      </c>
      <c r="S203" s="63">
        <f t="shared" si="7"/>
        <v>529.48</v>
      </c>
    </row>
    <row r="204" spans="1:19" x14ac:dyDescent="0.25">
      <c r="A204" s="116" t="s">
        <v>1381</v>
      </c>
      <c r="B204" s="116" t="s">
        <v>1382</v>
      </c>
      <c r="C204" s="117">
        <v>127</v>
      </c>
      <c r="D204" s="91" t="s">
        <v>1383</v>
      </c>
      <c r="E204" s="91" t="s">
        <v>19</v>
      </c>
      <c r="F204" s="121">
        <v>41383</v>
      </c>
      <c r="G204" s="77"/>
      <c r="H204" s="72"/>
      <c r="I204" s="72"/>
      <c r="J204" s="72"/>
      <c r="K204" s="72"/>
      <c r="L204" s="72"/>
      <c r="M204" s="72"/>
      <c r="N204" s="72"/>
      <c r="O204" s="72"/>
      <c r="P204" s="72"/>
      <c r="Q204" s="63">
        <f t="shared" si="13"/>
        <v>1048.68</v>
      </c>
      <c r="R204" s="72">
        <f t="shared" ref="R204:R215" si="14">+H204+J204+L204+N204+P204</f>
        <v>0</v>
      </c>
      <c r="S204" s="63">
        <f t="shared" ref="S204:S215" si="15">+Q204+R204</f>
        <v>1048.68</v>
      </c>
    </row>
    <row r="205" spans="1:19" x14ac:dyDescent="0.25">
      <c r="A205" s="116" t="s">
        <v>1384</v>
      </c>
      <c r="B205" s="116" t="s">
        <v>1385</v>
      </c>
      <c r="C205" s="117">
        <v>128</v>
      </c>
      <c r="D205" s="91" t="s">
        <v>1386</v>
      </c>
      <c r="E205" s="91" t="s">
        <v>19</v>
      </c>
      <c r="F205" s="121">
        <v>41396</v>
      </c>
      <c r="G205" s="118">
        <f>238+260</f>
        <v>498</v>
      </c>
      <c r="H205" s="72"/>
      <c r="I205" s="72"/>
      <c r="J205" s="72"/>
      <c r="K205" s="72"/>
      <c r="L205" s="72"/>
      <c r="M205" s="72"/>
      <c r="N205" s="72"/>
      <c r="O205" s="72"/>
      <c r="P205" s="72"/>
      <c r="Q205" s="63">
        <f t="shared" ref="Q205:Q212" si="16">+G204+I205+K205+M205+O205</f>
        <v>0</v>
      </c>
      <c r="R205" s="72">
        <f t="shared" si="14"/>
        <v>0</v>
      </c>
      <c r="S205" s="63">
        <f>+Q205+R205</f>
        <v>0</v>
      </c>
    </row>
    <row r="206" spans="1:19" x14ac:dyDescent="0.25">
      <c r="A206" s="116" t="s">
        <v>1387</v>
      </c>
      <c r="B206" s="116" t="s">
        <v>1388</v>
      </c>
      <c r="C206" s="117">
        <v>129</v>
      </c>
      <c r="D206" s="91" t="s">
        <v>1389</v>
      </c>
      <c r="E206" s="91" t="s">
        <v>19</v>
      </c>
      <c r="F206" s="121">
        <v>41381</v>
      </c>
      <c r="G206" s="77"/>
      <c r="H206" s="72"/>
      <c r="I206" s="72"/>
      <c r="J206" s="72"/>
      <c r="K206" s="72"/>
      <c r="L206" s="72"/>
      <c r="M206" s="72"/>
      <c r="N206" s="72"/>
      <c r="O206" s="72"/>
      <c r="P206" s="72"/>
      <c r="Q206" s="63">
        <f t="shared" si="16"/>
        <v>498</v>
      </c>
      <c r="R206" s="72">
        <f t="shared" si="14"/>
        <v>0</v>
      </c>
      <c r="S206" s="63">
        <f>+Q206+R206</f>
        <v>498</v>
      </c>
    </row>
    <row r="207" spans="1:19" x14ac:dyDescent="0.25">
      <c r="A207" s="116" t="s">
        <v>1390</v>
      </c>
      <c r="B207" s="116" t="s">
        <v>1391</v>
      </c>
      <c r="C207" s="117">
        <v>130</v>
      </c>
      <c r="D207" s="91" t="s">
        <v>1392</v>
      </c>
      <c r="E207" s="91" t="s">
        <v>19</v>
      </c>
      <c r="F207" s="121">
        <v>41526</v>
      </c>
      <c r="G207" s="118">
        <f>459.6</f>
        <v>459.6</v>
      </c>
      <c r="H207" s="72"/>
      <c r="I207" s="72"/>
      <c r="J207" s="72"/>
      <c r="K207" s="72"/>
      <c r="L207" s="72"/>
      <c r="M207" s="72"/>
      <c r="N207" s="72"/>
      <c r="O207" s="72"/>
      <c r="P207" s="72"/>
      <c r="Q207" s="63">
        <f t="shared" si="16"/>
        <v>0</v>
      </c>
      <c r="R207" s="72">
        <f t="shared" si="14"/>
        <v>0</v>
      </c>
      <c r="S207" s="63">
        <f>+Q207+R207</f>
        <v>0</v>
      </c>
    </row>
    <row r="208" spans="1:19" x14ac:dyDescent="0.25">
      <c r="A208" s="116" t="s">
        <v>1393</v>
      </c>
      <c r="B208" s="116" t="s">
        <v>1394</v>
      </c>
      <c r="C208" s="117">
        <v>131</v>
      </c>
      <c r="D208" s="91" t="s">
        <v>1395</v>
      </c>
      <c r="E208" s="91" t="s">
        <v>19</v>
      </c>
      <c r="F208" s="121">
        <v>41388</v>
      </c>
      <c r="G208" s="118">
        <f>103</f>
        <v>103</v>
      </c>
      <c r="H208" s="72"/>
      <c r="I208" s="72"/>
      <c r="J208" s="72"/>
      <c r="K208" s="72"/>
      <c r="L208" s="72"/>
      <c r="M208" s="72"/>
      <c r="N208" s="72"/>
      <c r="O208" s="72"/>
      <c r="P208" s="72"/>
      <c r="Q208" s="63">
        <f t="shared" si="16"/>
        <v>459.6</v>
      </c>
      <c r="R208" s="72">
        <f t="shared" si="14"/>
        <v>0</v>
      </c>
      <c r="S208" s="63">
        <f t="shared" si="15"/>
        <v>459.6</v>
      </c>
    </row>
    <row r="209" spans="1:19" x14ac:dyDescent="0.25">
      <c r="A209" s="116" t="s">
        <v>1396</v>
      </c>
      <c r="B209" s="116" t="s">
        <v>1397</v>
      </c>
      <c r="C209" s="117">
        <v>132</v>
      </c>
      <c r="D209" s="91" t="s">
        <v>1398</v>
      </c>
      <c r="E209" s="91" t="s">
        <v>19</v>
      </c>
      <c r="F209" s="121">
        <v>41446</v>
      </c>
      <c r="G209" s="118">
        <f>121.9</f>
        <v>121.9</v>
      </c>
      <c r="H209" s="72"/>
      <c r="I209" s="72"/>
      <c r="J209" s="72"/>
      <c r="K209" s="72"/>
      <c r="L209" s="72"/>
      <c r="M209" s="72"/>
      <c r="N209" s="72"/>
      <c r="O209" s="72"/>
      <c r="P209" s="72"/>
      <c r="Q209" s="63">
        <f t="shared" si="16"/>
        <v>103</v>
      </c>
      <c r="R209" s="72">
        <f t="shared" si="14"/>
        <v>0</v>
      </c>
      <c r="S209" s="63">
        <f t="shared" si="15"/>
        <v>103</v>
      </c>
    </row>
    <row r="210" spans="1:19" x14ac:dyDescent="0.25">
      <c r="A210" s="116" t="s">
        <v>1399</v>
      </c>
      <c r="B210" s="116" t="s">
        <v>1400</v>
      </c>
      <c r="C210" s="117">
        <v>133</v>
      </c>
      <c r="D210" s="91" t="s">
        <v>1401</v>
      </c>
      <c r="E210" s="91" t="s">
        <v>19</v>
      </c>
      <c r="F210" s="121">
        <v>41388</v>
      </c>
      <c r="G210" s="118">
        <f>153.3</f>
        <v>153.30000000000001</v>
      </c>
      <c r="H210" s="72"/>
      <c r="I210" s="72"/>
      <c r="J210" s="72"/>
      <c r="K210" s="72"/>
      <c r="L210" s="72"/>
      <c r="M210" s="72"/>
      <c r="N210" s="72"/>
      <c r="O210" s="72"/>
      <c r="P210" s="72"/>
      <c r="Q210" s="63">
        <f t="shared" si="16"/>
        <v>121.9</v>
      </c>
      <c r="R210" s="72">
        <f t="shared" si="14"/>
        <v>0</v>
      </c>
      <c r="S210" s="63">
        <f t="shared" si="15"/>
        <v>121.9</v>
      </c>
    </row>
    <row r="211" spans="1:19" x14ac:dyDescent="0.25">
      <c r="A211" s="116" t="s">
        <v>1402</v>
      </c>
      <c r="B211" s="116" t="s">
        <v>1403</v>
      </c>
      <c r="C211" s="117">
        <v>134</v>
      </c>
      <c r="D211" s="91" t="s">
        <v>1404</v>
      </c>
      <c r="E211" s="91" t="s">
        <v>19</v>
      </c>
      <c r="F211" s="121">
        <v>41396</v>
      </c>
      <c r="G211" s="118">
        <f>238+24+47.2+17.7+51+47.2+47.2+330.82+55.4+47.2+238+76.5+47.2+36.9+47.2+558+94.4+25.95+56.48</f>
        <v>2086.35</v>
      </c>
      <c r="H211" s="72"/>
      <c r="I211" s="120">
        <f>750+750+750</f>
        <v>2250</v>
      </c>
      <c r="J211" s="72"/>
      <c r="K211" s="72"/>
      <c r="L211" s="72"/>
      <c r="M211" s="72"/>
      <c r="N211" s="72"/>
      <c r="O211" s="72"/>
      <c r="P211" s="72"/>
      <c r="Q211" s="63">
        <f t="shared" si="16"/>
        <v>2403.3000000000002</v>
      </c>
      <c r="R211" s="72">
        <f t="shared" si="14"/>
        <v>0</v>
      </c>
      <c r="S211" s="63">
        <f t="shared" si="15"/>
        <v>2403.3000000000002</v>
      </c>
    </row>
    <row r="212" spans="1:19" x14ac:dyDescent="0.25">
      <c r="A212" s="116" t="s">
        <v>1405</v>
      </c>
      <c r="B212" s="116" t="s">
        <v>1406</v>
      </c>
      <c r="C212" s="117">
        <v>135</v>
      </c>
      <c r="D212" s="91" t="s">
        <v>1407</v>
      </c>
      <c r="E212" s="91" t="s">
        <v>19</v>
      </c>
      <c r="F212" s="121">
        <v>41323</v>
      </c>
      <c r="G212" s="77"/>
      <c r="H212" s="72"/>
      <c r="I212" s="72"/>
      <c r="J212" s="72"/>
      <c r="K212" s="72"/>
      <c r="L212" s="72"/>
      <c r="M212" s="72"/>
      <c r="N212" s="72"/>
      <c r="O212" s="72"/>
      <c r="P212" s="72"/>
      <c r="Q212" s="63">
        <f t="shared" si="16"/>
        <v>2086.35</v>
      </c>
      <c r="R212" s="72">
        <f t="shared" si="14"/>
        <v>0</v>
      </c>
      <c r="S212" s="63">
        <f t="shared" si="15"/>
        <v>2086.35</v>
      </c>
    </row>
    <row r="213" spans="1:19" x14ac:dyDescent="0.25">
      <c r="A213" s="116" t="s">
        <v>1405</v>
      </c>
      <c r="B213" s="116" t="s">
        <v>1406</v>
      </c>
      <c r="C213" s="117">
        <v>135</v>
      </c>
      <c r="D213" s="91" t="s">
        <v>1408</v>
      </c>
      <c r="E213" s="91" t="s">
        <v>19</v>
      </c>
      <c r="F213" s="121">
        <v>41323</v>
      </c>
      <c r="G213" s="118"/>
      <c r="H213" s="72"/>
      <c r="I213" s="72"/>
      <c r="J213" s="72"/>
      <c r="K213" s="72"/>
      <c r="L213" s="72"/>
      <c r="M213" s="72"/>
      <c r="N213" s="72"/>
      <c r="O213" s="72"/>
      <c r="P213" s="72"/>
      <c r="Q213" s="63">
        <f>+G213+I213+K213+M213+O213</f>
        <v>0</v>
      </c>
      <c r="R213" s="72">
        <f t="shared" si="14"/>
        <v>0</v>
      </c>
      <c r="S213" s="63">
        <f t="shared" si="15"/>
        <v>0</v>
      </c>
    </row>
    <row r="214" spans="1:19" x14ac:dyDescent="0.25">
      <c r="A214" s="116" t="s">
        <v>1409</v>
      </c>
      <c r="B214" s="116" t="s">
        <v>1410</v>
      </c>
      <c r="C214" s="117">
        <v>136</v>
      </c>
      <c r="D214" s="91" t="s">
        <v>1411</v>
      </c>
      <c r="E214" s="91" t="s">
        <v>19</v>
      </c>
      <c r="F214" s="121">
        <v>41409</v>
      </c>
      <c r="G214" s="118">
        <f>24</f>
        <v>24</v>
      </c>
      <c r="H214" s="72"/>
      <c r="I214" s="72"/>
      <c r="J214" s="72"/>
      <c r="K214" s="72"/>
      <c r="L214" s="72"/>
      <c r="M214" s="72"/>
      <c r="N214" s="72"/>
      <c r="O214" s="72"/>
      <c r="P214" s="72"/>
      <c r="Q214" s="63">
        <f>+G214+I214+K214+M214+O214</f>
        <v>24</v>
      </c>
      <c r="R214" s="72">
        <f t="shared" si="14"/>
        <v>0</v>
      </c>
      <c r="S214" s="63">
        <f>+Q214+R214</f>
        <v>24</v>
      </c>
    </row>
    <row r="215" spans="1:19" x14ac:dyDescent="0.25">
      <c r="A215" s="116" t="s">
        <v>1412</v>
      </c>
      <c r="B215" s="116" t="s">
        <v>1413</v>
      </c>
      <c r="C215" s="117">
        <v>137</v>
      </c>
      <c r="D215" s="91" t="s">
        <v>1414</v>
      </c>
      <c r="E215" s="91" t="s">
        <v>19</v>
      </c>
      <c r="F215" s="121">
        <v>41383</v>
      </c>
      <c r="G215" s="77"/>
      <c r="H215" s="72"/>
      <c r="I215" s="72"/>
      <c r="J215" s="72"/>
      <c r="K215" s="72"/>
      <c r="L215" s="72"/>
      <c r="M215" s="72"/>
      <c r="N215" s="72"/>
      <c r="O215" s="72"/>
      <c r="P215" s="72"/>
      <c r="Q215" s="63">
        <f>+G214+I215+K215+M215+O215</f>
        <v>24</v>
      </c>
      <c r="R215" s="72">
        <f t="shared" si="14"/>
        <v>0</v>
      </c>
      <c r="S215" s="63">
        <f t="shared" si="15"/>
        <v>24</v>
      </c>
    </row>
    <row r="216" spans="1:19" x14ac:dyDescent="0.25">
      <c r="A216" s="116" t="s">
        <v>1275</v>
      </c>
      <c r="B216" s="116" t="s">
        <v>1276</v>
      </c>
      <c r="C216" s="117">
        <v>138</v>
      </c>
      <c r="D216" s="91" t="s">
        <v>1415</v>
      </c>
      <c r="E216" s="91" t="s">
        <v>19</v>
      </c>
      <c r="F216" s="121">
        <v>41396</v>
      </c>
      <c r="G216" s="118">
        <f>238+179.6</f>
        <v>417.6</v>
      </c>
      <c r="H216" s="72"/>
      <c r="I216" s="72"/>
      <c r="J216" s="72"/>
      <c r="K216" s="72"/>
      <c r="L216" s="72"/>
      <c r="M216" s="72"/>
      <c r="N216" s="72"/>
      <c r="O216" s="72"/>
      <c r="P216" s="72"/>
      <c r="Q216" s="63">
        <f t="shared" ref="Q216:Q279" si="17">+G215+I216+K216+M216+O216</f>
        <v>0</v>
      </c>
      <c r="R216" s="72">
        <f t="shared" ref="R216:R279" si="18">+H216+J216+L216+N216+P216</f>
        <v>0</v>
      </c>
      <c r="S216" s="63">
        <f t="shared" ref="S216:S279" si="19">+Q216+R216</f>
        <v>0</v>
      </c>
    </row>
    <row r="217" spans="1:19" x14ac:dyDescent="0.25">
      <c r="A217" s="116" t="s">
        <v>1416</v>
      </c>
      <c r="B217" s="116" t="s">
        <v>1417</v>
      </c>
      <c r="C217" s="117">
        <v>139</v>
      </c>
      <c r="D217" s="91" t="s">
        <v>1418</v>
      </c>
      <c r="E217" s="91" t="s">
        <v>19</v>
      </c>
      <c r="F217" s="121">
        <v>41471</v>
      </c>
      <c r="G217" s="118">
        <f>104.5</f>
        <v>104.5</v>
      </c>
      <c r="H217" s="72"/>
      <c r="I217" s="72"/>
      <c r="J217" s="72"/>
      <c r="K217" s="72"/>
      <c r="L217" s="72"/>
      <c r="M217" s="72"/>
      <c r="N217" s="72"/>
      <c r="O217" s="72"/>
      <c r="P217" s="72"/>
      <c r="Q217" s="63">
        <f t="shared" si="17"/>
        <v>417.6</v>
      </c>
      <c r="R217" s="72">
        <f t="shared" si="18"/>
        <v>0</v>
      </c>
      <c r="S217" s="63">
        <f t="shared" si="19"/>
        <v>417.6</v>
      </c>
    </row>
    <row r="218" spans="1:19" x14ac:dyDescent="0.25">
      <c r="A218" s="116" t="s">
        <v>1419</v>
      </c>
      <c r="B218" s="116" t="s">
        <v>1420</v>
      </c>
      <c r="C218" s="117">
        <v>140</v>
      </c>
      <c r="D218" s="91" t="s">
        <v>1421</v>
      </c>
      <c r="E218" s="91" t="s">
        <v>19</v>
      </c>
      <c r="F218" s="121">
        <v>41409</v>
      </c>
      <c r="G218" s="118">
        <f>80.4</f>
        <v>80.400000000000006</v>
      </c>
      <c r="H218" s="72"/>
      <c r="I218" s="72"/>
      <c r="J218" s="72"/>
      <c r="K218" s="72"/>
      <c r="L218" s="72"/>
      <c r="M218" s="72"/>
      <c r="N218" s="72"/>
      <c r="O218" s="72"/>
      <c r="P218" s="72"/>
      <c r="Q218" s="63">
        <f t="shared" si="17"/>
        <v>104.5</v>
      </c>
      <c r="R218" s="72">
        <f t="shared" si="18"/>
        <v>0</v>
      </c>
      <c r="S218" s="63">
        <f t="shared" si="19"/>
        <v>104.5</v>
      </c>
    </row>
    <row r="219" spans="1:19" x14ac:dyDescent="0.25">
      <c r="A219" s="116" t="s">
        <v>1422</v>
      </c>
      <c r="B219" s="116" t="s">
        <v>1423</v>
      </c>
      <c r="C219" s="117">
        <v>141</v>
      </c>
      <c r="D219" s="91" t="s">
        <v>1424</v>
      </c>
      <c r="E219" s="91" t="s">
        <v>19</v>
      </c>
      <c r="F219" s="121">
        <v>41479</v>
      </c>
      <c r="G219" s="118">
        <f>140.6</f>
        <v>140.6</v>
      </c>
      <c r="H219" s="72"/>
      <c r="I219" s="72"/>
      <c r="J219" s="72"/>
      <c r="K219" s="72"/>
      <c r="L219" s="72"/>
      <c r="M219" s="72"/>
      <c r="N219" s="72"/>
      <c r="O219" s="72"/>
      <c r="P219" s="72"/>
      <c r="Q219" s="63">
        <f t="shared" si="17"/>
        <v>80.400000000000006</v>
      </c>
      <c r="R219" s="72">
        <f t="shared" si="18"/>
        <v>0</v>
      </c>
      <c r="S219" s="63">
        <f t="shared" si="19"/>
        <v>80.400000000000006</v>
      </c>
    </row>
    <row r="220" spans="1:19" x14ac:dyDescent="0.25">
      <c r="A220" s="116" t="s">
        <v>1425</v>
      </c>
      <c r="B220" s="116" t="s">
        <v>1426</v>
      </c>
      <c r="C220" s="117">
        <v>142</v>
      </c>
      <c r="D220" s="91" t="s">
        <v>1427</v>
      </c>
      <c r="E220" s="91" t="s">
        <v>19</v>
      </c>
      <c r="F220" s="121">
        <v>41479</v>
      </c>
      <c r="G220" s="118">
        <f>157.41</f>
        <v>157.41</v>
      </c>
      <c r="H220" s="72"/>
      <c r="I220" s="72"/>
      <c r="J220" s="72"/>
      <c r="K220" s="72"/>
      <c r="L220" s="72"/>
      <c r="M220" s="72"/>
      <c r="N220" s="72"/>
      <c r="O220" s="72"/>
      <c r="P220" s="72"/>
      <c r="Q220" s="63">
        <f t="shared" si="17"/>
        <v>140.6</v>
      </c>
      <c r="R220" s="72">
        <f t="shared" si="18"/>
        <v>0</v>
      </c>
      <c r="S220" s="63">
        <f t="shared" si="19"/>
        <v>140.6</v>
      </c>
    </row>
    <row r="221" spans="1:19" x14ac:dyDescent="0.25">
      <c r="A221" s="116" t="s">
        <v>1428</v>
      </c>
      <c r="B221" s="116" t="s">
        <v>1429</v>
      </c>
      <c r="C221" s="117">
        <v>143</v>
      </c>
      <c r="D221" s="91" t="s">
        <v>1430</v>
      </c>
      <c r="E221" s="91" t="s">
        <v>141</v>
      </c>
      <c r="F221" s="121">
        <v>41389</v>
      </c>
      <c r="G221" s="77"/>
      <c r="H221" s="72"/>
      <c r="I221" s="72"/>
      <c r="J221" s="72"/>
      <c r="K221" s="72"/>
      <c r="L221" s="72"/>
      <c r="M221" s="72"/>
      <c r="N221" s="72"/>
      <c r="O221" s="72"/>
      <c r="P221" s="72"/>
      <c r="Q221" s="63">
        <f t="shared" si="17"/>
        <v>157.41</v>
      </c>
      <c r="R221" s="72">
        <f t="shared" si="18"/>
        <v>0</v>
      </c>
      <c r="S221" s="63">
        <f t="shared" si="19"/>
        <v>157.41</v>
      </c>
    </row>
    <row r="222" spans="1:19" x14ac:dyDescent="0.25">
      <c r="A222" s="116" t="s">
        <v>1431</v>
      </c>
      <c r="B222" s="116" t="s">
        <v>1432</v>
      </c>
      <c r="C222" s="117">
        <v>144</v>
      </c>
      <c r="D222" s="91" t="s">
        <v>1433</v>
      </c>
      <c r="E222" s="91" t="s">
        <v>19</v>
      </c>
      <c r="F222" s="121">
        <v>41368</v>
      </c>
      <c r="G222" s="118">
        <v>35</v>
      </c>
      <c r="H222" s="72"/>
      <c r="I222" s="72"/>
      <c r="J222" s="72"/>
      <c r="K222" s="72"/>
      <c r="L222" s="72"/>
      <c r="M222" s="72"/>
      <c r="N222" s="72"/>
      <c r="O222" s="72"/>
      <c r="P222" s="72"/>
      <c r="Q222" s="63">
        <f t="shared" si="17"/>
        <v>0</v>
      </c>
      <c r="R222" s="72">
        <f t="shared" si="18"/>
        <v>0</v>
      </c>
      <c r="S222" s="63">
        <f t="shared" si="19"/>
        <v>0</v>
      </c>
    </row>
    <row r="223" spans="1:19" x14ac:dyDescent="0.25">
      <c r="A223" s="116" t="s">
        <v>1431</v>
      </c>
      <c r="B223" s="116" t="s">
        <v>1432</v>
      </c>
      <c r="C223" s="117">
        <v>144</v>
      </c>
      <c r="D223" s="91" t="s">
        <v>1434</v>
      </c>
      <c r="E223" s="91" t="s">
        <v>19</v>
      </c>
      <c r="F223" s="121">
        <v>41368</v>
      </c>
      <c r="G223" s="118">
        <v>244.08</v>
      </c>
      <c r="H223" s="72"/>
      <c r="I223" s="72"/>
      <c r="J223" s="72"/>
      <c r="K223" s="72"/>
      <c r="L223" s="72"/>
      <c r="M223" s="72"/>
      <c r="N223" s="72"/>
      <c r="O223" s="72"/>
      <c r="P223" s="72"/>
      <c r="Q223" s="63">
        <f t="shared" si="17"/>
        <v>35</v>
      </c>
      <c r="R223" s="72">
        <f t="shared" si="18"/>
        <v>0</v>
      </c>
      <c r="S223" s="63">
        <f t="shared" si="19"/>
        <v>35</v>
      </c>
    </row>
    <row r="224" spans="1:19" x14ac:dyDescent="0.25">
      <c r="A224" s="116" t="s">
        <v>1435</v>
      </c>
      <c r="B224" s="116" t="s">
        <v>1436</v>
      </c>
      <c r="C224" s="117">
        <v>145</v>
      </c>
      <c r="D224" s="91" t="s">
        <v>1437</v>
      </c>
      <c r="E224" s="91" t="s">
        <v>19</v>
      </c>
      <c r="F224" s="121">
        <v>41370</v>
      </c>
      <c r="G224" s="118">
        <v>151.66</v>
      </c>
      <c r="H224" s="72"/>
      <c r="I224" s="72"/>
      <c r="J224" s="72"/>
      <c r="K224" s="72"/>
      <c r="L224" s="72"/>
      <c r="M224" s="72"/>
      <c r="N224" s="72"/>
      <c r="O224" s="72"/>
      <c r="P224" s="72"/>
      <c r="Q224" s="63">
        <f t="shared" si="17"/>
        <v>244.08</v>
      </c>
      <c r="R224" s="72">
        <f t="shared" si="18"/>
        <v>0</v>
      </c>
      <c r="S224" s="63">
        <f t="shared" si="19"/>
        <v>244.08</v>
      </c>
    </row>
    <row r="225" spans="1:19" x14ac:dyDescent="0.25">
      <c r="A225" s="116" t="s">
        <v>1438</v>
      </c>
      <c r="B225" s="116" t="s">
        <v>1439</v>
      </c>
      <c r="C225" s="117">
        <v>146</v>
      </c>
      <c r="D225" s="91" t="s">
        <v>1440</v>
      </c>
      <c r="E225" s="91" t="s">
        <v>19</v>
      </c>
      <c r="F225" s="121">
        <v>41422</v>
      </c>
      <c r="G225" s="118">
        <f>238+538.6+141.5</f>
        <v>918.1</v>
      </c>
      <c r="H225" s="72"/>
      <c r="I225" s="72"/>
      <c r="J225" s="72"/>
      <c r="K225" s="72"/>
      <c r="L225" s="72"/>
      <c r="M225" s="72"/>
      <c r="N225" s="72"/>
      <c r="O225" s="72"/>
      <c r="P225" s="72"/>
      <c r="Q225" s="63">
        <f t="shared" si="17"/>
        <v>151.66</v>
      </c>
      <c r="R225" s="72">
        <f t="shared" si="18"/>
        <v>0</v>
      </c>
      <c r="S225" s="63">
        <f t="shared" si="19"/>
        <v>151.66</v>
      </c>
    </row>
    <row r="226" spans="1:19" x14ac:dyDescent="0.25">
      <c r="A226" s="116" t="s">
        <v>1441</v>
      </c>
      <c r="B226" s="116" t="s">
        <v>1442</v>
      </c>
      <c r="C226" s="117">
        <v>147</v>
      </c>
      <c r="D226" s="91" t="s">
        <v>1443</v>
      </c>
      <c r="E226" s="91" t="s">
        <v>19</v>
      </c>
      <c r="F226" s="121">
        <v>41403</v>
      </c>
      <c r="G226" s="118">
        <f>3194.77+206.56+204.54+41.3+197.54</f>
        <v>3844.71</v>
      </c>
      <c r="H226" s="72"/>
      <c r="I226" s="120">
        <f>750+750+750+750+700</f>
        <v>3700</v>
      </c>
      <c r="J226" s="72"/>
      <c r="K226" s="72"/>
      <c r="L226" s="72"/>
      <c r="M226" s="72"/>
      <c r="N226" s="72"/>
      <c r="O226" s="72"/>
      <c r="P226" s="72"/>
      <c r="Q226" s="63">
        <f t="shared" si="17"/>
        <v>4618.1000000000004</v>
      </c>
      <c r="R226" s="72">
        <f t="shared" si="18"/>
        <v>0</v>
      </c>
      <c r="S226" s="63">
        <f t="shared" si="19"/>
        <v>4618.1000000000004</v>
      </c>
    </row>
    <row r="227" spans="1:19" x14ac:dyDescent="0.25">
      <c r="A227" s="116" t="s">
        <v>1444</v>
      </c>
      <c r="B227" s="116" t="s">
        <v>1445</v>
      </c>
      <c r="C227" s="117">
        <v>148</v>
      </c>
      <c r="D227" s="91" t="s">
        <v>1446</v>
      </c>
      <c r="E227" s="91" t="s">
        <v>19</v>
      </c>
      <c r="F227" s="121">
        <v>41593</v>
      </c>
      <c r="G227" s="118">
        <f>324.91</f>
        <v>324.91000000000003</v>
      </c>
      <c r="H227" s="72"/>
      <c r="I227" s="73"/>
      <c r="J227" s="72"/>
      <c r="K227" s="72"/>
      <c r="L227" s="72"/>
      <c r="M227" s="72"/>
      <c r="N227" s="72"/>
      <c r="O227" s="72"/>
      <c r="P227" s="72"/>
      <c r="Q227" s="63">
        <f t="shared" si="17"/>
        <v>3844.71</v>
      </c>
      <c r="R227" s="72">
        <f t="shared" si="18"/>
        <v>0</v>
      </c>
      <c r="S227" s="63">
        <f t="shared" si="19"/>
        <v>3844.71</v>
      </c>
    </row>
    <row r="228" spans="1:19" x14ac:dyDescent="0.25">
      <c r="A228" s="116" t="s">
        <v>1447</v>
      </c>
      <c r="B228" s="116" t="s">
        <v>1448</v>
      </c>
      <c r="C228" s="117">
        <v>149</v>
      </c>
      <c r="D228" s="91" t="s">
        <v>1449</v>
      </c>
      <c r="E228" s="91" t="s">
        <v>19</v>
      </c>
      <c r="F228" s="121">
        <v>41394</v>
      </c>
      <c r="G228" s="118">
        <f>88.03</f>
        <v>88.03</v>
      </c>
      <c r="H228" s="72"/>
      <c r="I228" s="73"/>
      <c r="J228" s="72"/>
      <c r="K228" s="72"/>
      <c r="L228" s="72"/>
      <c r="M228" s="72"/>
      <c r="N228" s="72"/>
      <c r="O228" s="72"/>
      <c r="P228" s="72"/>
      <c r="Q228" s="63">
        <f t="shared" si="17"/>
        <v>324.91000000000003</v>
      </c>
      <c r="R228" s="72">
        <f t="shared" si="18"/>
        <v>0</v>
      </c>
      <c r="S228" s="63">
        <f t="shared" si="19"/>
        <v>324.91000000000003</v>
      </c>
    </row>
    <row r="229" spans="1:19" x14ac:dyDescent="0.25">
      <c r="A229" s="116" t="s">
        <v>1450</v>
      </c>
      <c r="B229" s="116" t="s">
        <v>1451</v>
      </c>
      <c r="C229" s="117">
        <v>150</v>
      </c>
      <c r="D229" s="91" t="s">
        <v>1452</v>
      </c>
      <c r="E229" s="91" t="s">
        <v>19</v>
      </c>
      <c r="F229" s="121">
        <v>41424</v>
      </c>
      <c r="G229" s="118">
        <f>138.59</f>
        <v>138.59</v>
      </c>
      <c r="H229" s="72"/>
      <c r="I229" s="73"/>
      <c r="J229" s="72"/>
      <c r="K229" s="72"/>
      <c r="L229" s="72"/>
      <c r="M229" s="72"/>
      <c r="N229" s="72"/>
      <c r="O229" s="72"/>
      <c r="P229" s="72"/>
      <c r="Q229" s="63">
        <f t="shared" si="17"/>
        <v>88.03</v>
      </c>
      <c r="R229" s="72">
        <f t="shared" si="18"/>
        <v>0</v>
      </c>
      <c r="S229" s="63">
        <f t="shared" si="19"/>
        <v>88.03</v>
      </c>
    </row>
    <row r="230" spans="1:19" x14ac:dyDescent="0.25">
      <c r="A230" s="116" t="s">
        <v>1453</v>
      </c>
      <c r="B230" s="116" t="s">
        <v>1454</v>
      </c>
      <c r="C230" s="117">
        <v>151</v>
      </c>
      <c r="D230" s="91" t="s">
        <v>1455</v>
      </c>
      <c r="E230" s="91" t="s">
        <v>19</v>
      </c>
      <c r="F230" s="121">
        <v>41417</v>
      </c>
      <c r="G230" s="118">
        <f>232.46</f>
        <v>232.46</v>
      </c>
      <c r="H230" s="72"/>
      <c r="I230" s="73"/>
      <c r="J230" s="72"/>
      <c r="K230" s="72"/>
      <c r="L230" s="72"/>
      <c r="M230" s="72"/>
      <c r="N230" s="72"/>
      <c r="O230" s="72"/>
      <c r="P230" s="72"/>
      <c r="Q230" s="63">
        <f t="shared" si="17"/>
        <v>138.59</v>
      </c>
      <c r="R230" s="72">
        <f t="shared" si="18"/>
        <v>0</v>
      </c>
      <c r="S230" s="63">
        <f t="shared" si="19"/>
        <v>138.59</v>
      </c>
    </row>
    <row r="231" spans="1:19" x14ac:dyDescent="0.25">
      <c r="A231" s="116" t="s">
        <v>1456</v>
      </c>
      <c r="B231" s="116" t="s">
        <v>1457</v>
      </c>
      <c r="C231" s="117">
        <v>152</v>
      </c>
      <c r="D231" s="91" t="s">
        <v>1458</v>
      </c>
      <c r="E231" s="91" t="s">
        <v>19</v>
      </c>
      <c r="F231" s="121">
        <v>41417</v>
      </c>
      <c r="G231" s="118">
        <f>127.74</f>
        <v>127.74</v>
      </c>
      <c r="H231" s="72"/>
      <c r="I231" s="73"/>
      <c r="J231" s="72"/>
      <c r="K231" s="72"/>
      <c r="L231" s="72"/>
      <c r="M231" s="72"/>
      <c r="N231" s="72"/>
      <c r="O231" s="72"/>
      <c r="P231" s="72"/>
      <c r="Q231" s="63">
        <f t="shared" si="17"/>
        <v>232.46</v>
      </c>
      <c r="R231" s="72">
        <f t="shared" si="18"/>
        <v>0</v>
      </c>
      <c r="S231" s="63">
        <f t="shared" si="19"/>
        <v>232.46</v>
      </c>
    </row>
    <row r="232" spans="1:19" x14ac:dyDescent="0.25">
      <c r="A232" s="116" t="s">
        <v>1459</v>
      </c>
      <c r="B232" s="116" t="s">
        <v>1460</v>
      </c>
      <c r="C232" s="117">
        <v>153</v>
      </c>
      <c r="D232" s="91" t="s">
        <v>1461</v>
      </c>
      <c r="E232" s="91" t="s">
        <v>19</v>
      </c>
      <c r="F232" s="121">
        <v>41401</v>
      </c>
      <c r="G232" s="118">
        <f>81.3+45.76+56.5+47.2+47.2+80.83+80.83+44.44+158.5</f>
        <v>642.55999999999995</v>
      </c>
      <c r="H232" s="72"/>
      <c r="I232" s="120">
        <v>1500</v>
      </c>
      <c r="J232" s="72"/>
      <c r="K232" s="72"/>
      <c r="L232" s="72"/>
      <c r="M232" s="72"/>
      <c r="N232" s="72"/>
      <c r="O232" s="72"/>
      <c r="P232" s="72"/>
      <c r="Q232" s="63">
        <f t="shared" si="17"/>
        <v>1627.74</v>
      </c>
      <c r="R232" s="72">
        <f t="shared" si="18"/>
        <v>0</v>
      </c>
      <c r="S232" s="63">
        <f t="shared" si="19"/>
        <v>1627.74</v>
      </c>
    </row>
    <row r="233" spans="1:19" x14ac:dyDescent="0.25">
      <c r="A233" s="116" t="s">
        <v>1462</v>
      </c>
      <c r="B233" s="116" t="s">
        <v>1227</v>
      </c>
      <c r="C233" s="117">
        <v>154</v>
      </c>
      <c r="D233" s="91" t="s">
        <v>1463</v>
      </c>
      <c r="E233" s="91" t="s">
        <v>19</v>
      </c>
      <c r="F233" s="121">
        <v>41415</v>
      </c>
      <c r="G233" s="118">
        <f>2415.32+41.3+41.3+41.3+41.3+335</f>
        <v>2915.5200000000009</v>
      </c>
      <c r="H233" s="72"/>
      <c r="I233" s="72"/>
      <c r="J233" s="72"/>
      <c r="K233" s="72"/>
      <c r="L233" s="72"/>
      <c r="M233" s="72"/>
      <c r="N233" s="72"/>
      <c r="O233" s="72"/>
      <c r="P233" s="72"/>
      <c r="Q233" s="63">
        <f t="shared" si="17"/>
        <v>642.55999999999995</v>
      </c>
      <c r="R233" s="72">
        <f t="shared" si="18"/>
        <v>0</v>
      </c>
      <c r="S233" s="63">
        <f t="shared" si="19"/>
        <v>642.55999999999995</v>
      </c>
    </row>
    <row r="234" spans="1:19" x14ac:dyDescent="0.25">
      <c r="A234" s="116" t="s">
        <v>1464</v>
      </c>
      <c r="B234" s="116" t="s">
        <v>1465</v>
      </c>
      <c r="C234" s="117">
        <v>155</v>
      </c>
      <c r="D234" s="91" t="s">
        <v>1466</v>
      </c>
      <c r="E234" s="91" t="s">
        <v>19</v>
      </c>
      <c r="F234" s="121">
        <v>41370</v>
      </c>
      <c r="G234" s="118">
        <v>101.92</v>
      </c>
      <c r="H234" s="72"/>
      <c r="I234" s="72"/>
      <c r="J234" s="72"/>
      <c r="K234" s="72"/>
      <c r="L234" s="72"/>
      <c r="M234" s="72"/>
      <c r="N234" s="72"/>
      <c r="O234" s="72"/>
      <c r="P234" s="72"/>
      <c r="Q234" s="63">
        <f t="shared" si="17"/>
        <v>2915.5200000000009</v>
      </c>
      <c r="R234" s="72">
        <f t="shared" si="18"/>
        <v>0</v>
      </c>
      <c r="S234" s="63">
        <f t="shared" si="19"/>
        <v>2915.5200000000009</v>
      </c>
    </row>
    <row r="235" spans="1:19" x14ac:dyDescent="0.25">
      <c r="A235" s="116" t="s">
        <v>1467</v>
      </c>
      <c r="B235" s="116" t="s">
        <v>1468</v>
      </c>
      <c r="C235" s="117">
        <v>156</v>
      </c>
      <c r="D235" s="91" t="s">
        <v>1469</v>
      </c>
      <c r="E235" s="91" t="s">
        <v>19</v>
      </c>
      <c r="F235" s="121">
        <v>41323</v>
      </c>
      <c r="G235" s="77"/>
      <c r="H235" s="72"/>
      <c r="I235" s="72"/>
      <c r="J235" s="72"/>
      <c r="K235" s="72"/>
      <c r="L235" s="72"/>
      <c r="M235" s="72"/>
      <c r="N235" s="72"/>
      <c r="O235" s="72"/>
      <c r="P235" s="72"/>
      <c r="Q235" s="63">
        <f t="shared" si="17"/>
        <v>101.92</v>
      </c>
      <c r="R235" s="72">
        <f t="shared" si="18"/>
        <v>0</v>
      </c>
      <c r="S235" s="63">
        <f t="shared" si="19"/>
        <v>101.92</v>
      </c>
    </row>
    <row r="236" spans="1:19" x14ac:dyDescent="0.25">
      <c r="A236" s="116" t="s">
        <v>1470</v>
      </c>
      <c r="B236" s="116" t="s">
        <v>1471</v>
      </c>
      <c r="C236" s="117">
        <v>157</v>
      </c>
      <c r="D236" s="91" t="s">
        <v>1472</v>
      </c>
      <c r="E236" s="91" t="s">
        <v>19</v>
      </c>
      <c r="F236" s="121">
        <v>41389</v>
      </c>
      <c r="G236" s="118"/>
      <c r="H236" s="72"/>
      <c r="I236" s="72"/>
      <c r="J236" s="72"/>
      <c r="K236" s="72"/>
      <c r="L236" s="72"/>
      <c r="M236" s="72"/>
      <c r="N236" s="72"/>
      <c r="O236" s="72"/>
      <c r="P236" s="72"/>
      <c r="Q236" s="63">
        <f t="shared" si="17"/>
        <v>0</v>
      </c>
      <c r="R236" s="72">
        <f t="shared" si="18"/>
        <v>0</v>
      </c>
      <c r="S236" s="63">
        <f t="shared" si="19"/>
        <v>0</v>
      </c>
    </row>
    <row r="237" spans="1:19" x14ac:dyDescent="0.25">
      <c r="A237" s="116" t="s">
        <v>1473</v>
      </c>
      <c r="B237" s="116" t="s">
        <v>1474</v>
      </c>
      <c r="C237" s="117">
        <v>158</v>
      </c>
      <c r="D237" s="91" t="s">
        <v>1475</v>
      </c>
      <c r="E237" s="91" t="s">
        <v>19</v>
      </c>
      <c r="F237" s="121">
        <v>41460</v>
      </c>
      <c r="G237" s="118">
        <f>118</f>
        <v>118</v>
      </c>
      <c r="H237" s="72"/>
      <c r="I237" s="72"/>
      <c r="J237" s="72"/>
      <c r="K237" s="72"/>
      <c r="L237" s="72"/>
      <c r="M237" s="72"/>
      <c r="N237" s="72"/>
      <c r="O237" s="72"/>
      <c r="P237" s="72"/>
      <c r="Q237" s="63">
        <f t="shared" si="17"/>
        <v>0</v>
      </c>
      <c r="R237" s="72">
        <f t="shared" si="18"/>
        <v>0</v>
      </c>
      <c r="S237" s="63">
        <f t="shared" si="19"/>
        <v>0</v>
      </c>
    </row>
    <row r="238" spans="1:19" x14ac:dyDescent="0.25">
      <c r="A238" s="116" t="s">
        <v>1476</v>
      </c>
      <c r="B238" s="116" t="s">
        <v>1477</v>
      </c>
      <c r="C238" s="117">
        <v>159</v>
      </c>
      <c r="D238" s="91" t="s">
        <v>1478</v>
      </c>
      <c r="E238" s="91" t="s">
        <v>19</v>
      </c>
      <c r="F238" s="121">
        <v>41409</v>
      </c>
      <c r="G238" s="118">
        <f>201.5+238+47.2</f>
        <v>486.7</v>
      </c>
      <c r="H238" s="72"/>
      <c r="I238" s="72"/>
      <c r="J238" s="72"/>
      <c r="K238" s="72"/>
      <c r="L238" s="72"/>
      <c r="M238" s="72"/>
      <c r="N238" s="72"/>
      <c r="O238" s="72"/>
      <c r="P238" s="72"/>
      <c r="Q238" s="63">
        <f t="shared" si="17"/>
        <v>118</v>
      </c>
      <c r="R238" s="72">
        <f t="shared" si="18"/>
        <v>0</v>
      </c>
      <c r="S238" s="63">
        <f t="shared" si="19"/>
        <v>118</v>
      </c>
    </row>
    <row r="239" spans="1:19" x14ac:dyDescent="0.25">
      <c r="A239" s="116" t="s">
        <v>1479</v>
      </c>
      <c r="B239" s="116" t="s">
        <v>1480</v>
      </c>
      <c r="C239" s="117">
        <v>160</v>
      </c>
      <c r="D239" s="91" t="s">
        <v>1481</v>
      </c>
      <c r="E239" s="91" t="s">
        <v>19</v>
      </c>
      <c r="F239" s="121">
        <v>41409</v>
      </c>
      <c r="G239" s="118">
        <f>84.4</f>
        <v>84.4</v>
      </c>
      <c r="H239" s="72"/>
      <c r="I239" s="72"/>
      <c r="J239" s="72"/>
      <c r="K239" s="72"/>
      <c r="L239" s="72"/>
      <c r="M239" s="72"/>
      <c r="N239" s="72"/>
      <c r="O239" s="72"/>
      <c r="P239" s="72"/>
      <c r="Q239" s="63">
        <f t="shared" si="17"/>
        <v>486.7</v>
      </c>
      <c r="R239" s="72">
        <f t="shared" si="18"/>
        <v>0</v>
      </c>
      <c r="S239" s="63">
        <f t="shared" si="19"/>
        <v>486.7</v>
      </c>
    </row>
    <row r="240" spans="1:19" x14ac:dyDescent="0.25">
      <c r="A240" s="116" t="s">
        <v>1479</v>
      </c>
      <c r="B240" s="116" t="s">
        <v>1480</v>
      </c>
      <c r="C240" s="117">
        <v>160</v>
      </c>
      <c r="D240" s="91" t="s">
        <v>1482</v>
      </c>
      <c r="E240" s="91" t="s">
        <v>19</v>
      </c>
      <c r="F240" s="121">
        <v>41409</v>
      </c>
      <c r="G240" s="118">
        <f>130.3</f>
        <v>130.30000000000001</v>
      </c>
      <c r="H240" s="72"/>
      <c r="I240" s="72"/>
      <c r="J240" s="72"/>
      <c r="K240" s="72"/>
      <c r="L240" s="72"/>
      <c r="M240" s="72"/>
      <c r="N240" s="72"/>
      <c r="O240" s="72"/>
      <c r="P240" s="72"/>
      <c r="Q240" s="63">
        <f t="shared" si="17"/>
        <v>84.4</v>
      </c>
      <c r="R240" s="72">
        <f t="shared" si="18"/>
        <v>0</v>
      </c>
      <c r="S240" s="63">
        <f t="shared" si="19"/>
        <v>84.4</v>
      </c>
    </row>
    <row r="241" spans="1:19" x14ac:dyDescent="0.25">
      <c r="A241" s="116" t="s">
        <v>1483</v>
      </c>
      <c r="B241" s="116" t="s">
        <v>1484</v>
      </c>
      <c r="C241" s="117">
        <v>161</v>
      </c>
      <c r="D241" s="91" t="s">
        <v>1485</v>
      </c>
      <c r="E241" s="91" t="s">
        <v>19</v>
      </c>
      <c r="F241" s="121">
        <v>41409</v>
      </c>
      <c r="G241" s="118">
        <f>80.8</f>
        <v>80.8</v>
      </c>
      <c r="H241" s="72"/>
      <c r="I241" s="72"/>
      <c r="J241" s="72"/>
      <c r="K241" s="72"/>
      <c r="L241" s="72"/>
      <c r="M241" s="72"/>
      <c r="N241" s="72"/>
      <c r="O241" s="72"/>
      <c r="P241" s="72"/>
      <c r="Q241" s="63">
        <f t="shared" si="17"/>
        <v>130.30000000000001</v>
      </c>
      <c r="R241" s="72">
        <f t="shared" si="18"/>
        <v>0</v>
      </c>
      <c r="S241" s="63">
        <f t="shared" si="19"/>
        <v>130.30000000000001</v>
      </c>
    </row>
    <row r="242" spans="1:19" x14ac:dyDescent="0.25">
      <c r="A242" s="116" t="s">
        <v>1483</v>
      </c>
      <c r="B242" s="116" t="s">
        <v>1484</v>
      </c>
      <c r="C242" s="117">
        <v>161</v>
      </c>
      <c r="D242" s="91" t="s">
        <v>1486</v>
      </c>
      <c r="E242" s="91" t="s">
        <v>19</v>
      </c>
      <c r="F242" s="121">
        <v>41409</v>
      </c>
      <c r="G242" s="97">
        <v>103</v>
      </c>
      <c r="H242" s="72"/>
      <c r="I242" s="72"/>
      <c r="J242" s="72"/>
      <c r="K242" s="72"/>
      <c r="L242" s="72"/>
      <c r="M242" s="72"/>
      <c r="N242" s="72"/>
      <c r="O242" s="72"/>
      <c r="P242" s="72"/>
      <c r="Q242" s="63">
        <f t="shared" si="17"/>
        <v>80.8</v>
      </c>
      <c r="R242" s="72">
        <f t="shared" si="18"/>
        <v>0</v>
      </c>
      <c r="S242" s="63">
        <f t="shared" si="19"/>
        <v>80.8</v>
      </c>
    </row>
    <row r="243" spans="1:19" x14ac:dyDescent="0.25">
      <c r="A243" s="116" t="s">
        <v>1487</v>
      </c>
      <c r="B243" s="116" t="s">
        <v>1488</v>
      </c>
      <c r="C243" s="117">
        <v>162</v>
      </c>
      <c r="D243" s="91" t="s">
        <v>1489</v>
      </c>
      <c r="E243" s="91" t="s">
        <v>19</v>
      </c>
      <c r="F243" s="121">
        <v>41409</v>
      </c>
      <c r="G243" s="118">
        <f>417.9</f>
        <v>417.9</v>
      </c>
      <c r="H243" s="72"/>
      <c r="I243" s="72"/>
      <c r="J243" s="72"/>
      <c r="K243" s="72"/>
      <c r="L243" s="72"/>
      <c r="M243" s="72"/>
      <c r="N243" s="72"/>
      <c r="O243" s="72"/>
      <c r="P243" s="72"/>
      <c r="Q243" s="63">
        <f t="shared" si="17"/>
        <v>103</v>
      </c>
      <c r="R243" s="72">
        <f t="shared" si="18"/>
        <v>0</v>
      </c>
      <c r="S243" s="63">
        <f t="shared" si="19"/>
        <v>103</v>
      </c>
    </row>
    <row r="244" spans="1:19" x14ac:dyDescent="0.25">
      <c r="A244" s="116" t="s">
        <v>1490</v>
      </c>
      <c r="B244" s="116" t="s">
        <v>1491</v>
      </c>
      <c r="C244" s="117">
        <v>163</v>
      </c>
      <c r="D244" s="91" t="s">
        <v>1492</v>
      </c>
      <c r="E244" s="91" t="s">
        <v>19</v>
      </c>
      <c r="F244" s="121">
        <v>41409</v>
      </c>
      <c r="G244" s="118">
        <f>70</f>
        <v>70</v>
      </c>
      <c r="H244" s="72"/>
      <c r="I244" s="72"/>
      <c r="J244" s="72"/>
      <c r="K244" s="72"/>
      <c r="L244" s="72"/>
      <c r="M244" s="72"/>
      <c r="N244" s="72"/>
      <c r="O244" s="72"/>
      <c r="P244" s="72"/>
      <c r="Q244" s="63">
        <f t="shared" si="17"/>
        <v>417.9</v>
      </c>
      <c r="R244" s="72">
        <f t="shared" si="18"/>
        <v>0</v>
      </c>
      <c r="S244" s="63">
        <f t="shared" si="19"/>
        <v>417.9</v>
      </c>
    </row>
    <row r="245" spans="1:19" x14ac:dyDescent="0.25">
      <c r="A245" s="116" t="s">
        <v>1490</v>
      </c>
      <c r="B245" s="116" t="s">
        <v>1491</v>
      </c>
      <c r="C245" s="117">
        <v>163</v>
      </c>
      <c r="D245" s="91" t="s">
        <v>1493</v>
      </c>
      <c r="E245" s="91" t="s">
        <v>19</v>
      </c>
      <c r="F245" s="121">
        <v>41409</v>
      </c>
      <c r="G245" s="118">
        <f>86</f>
        <v>86</v>
      </c>
      <c r="H245" s="72"/>
      <c r="I245" s="72"/>
      <c r="J245" s="72"/>
      <c r="K245" s="72"/>
      <c r="L245" s="72"/>
      <c r="M245" s="72"/>
      <c r="N245" s="72"/>
      <c r="O245" s="72"/>
      <c r="P245" s="72"/>
      <c r="Q245" s="63">
        <f t="shared" si="17"/>
        <v>70</v>
      </c>
      <c r="R245" s="72">
        <f t="shared" si="18"/>
        <v>0</v>
      </c>
      <c r="S245" s="63">
        <f t="shared" si="19"/>
        <v>70</v>
      </c>
    </row>
    <row r="246" spans="1:19" x14ac:dyDescent="0.25">
      <c r="A246" s="116" t="s">
        <v>1494</v>
      </c>
      <c r="B246" s="116" t="s">
        <v>1495</v>
      </c>
      <c r="C246" s="117">
        <v>164</v>
      </c>
      <c r="D246" s="91" t="s">
        <v>1496</v>
      </c>
      <c r="E246" s="91" t="s">
        <v>19</v>
      </c>
      <c r="F246" s="121">
        <v>41403</v>
      </c>
      <c r="G246" s="118">
        <f>169.2+41.3+69.51+106.17+104.42+107.65+447.57</f>
        <v>1045.82</v>
      </c>
      <c r="H246" s="72"/>
      <c r="I246" s="72"/>
      <c r="J246" s="72"/>
      <c r="K246" s="72"/>
      <c r="L246" s="72"/>
      <c r="M246" s="72"/>
      <c r="N246" s="72"/>
      <c r="O246" s="72"/>
      <c r="P246" s="72"/>
      <c r="Q246" s="63">
        <f t="shared" si="17"/>
        <v>86</v>
      </c>
      <c r="R246" s="72">
        <f t="shared" si="18"/>
        <v>0</v>
      </c>
      <c r="S246" s="63">
        <f t="shared" si="19"/>
        <v>86</v>
      </c>
    </row>
    <row r="247" spans="1:19" x14ac:dyDescent="0.25">
      <c r="A247" s="116" t="s">
        <v>1494</v>
      </c>
      <c r="B247" s="116" t="s">
        <v>1495</v>
      </c>
      <c r="C247" s="117">
        <v>164</v>
      </c>
      <c r="D247" s="91" t="s">
        <v>1497</v>
      </c>
      <c r="E247" s="91" t="s">
        <v>19</v>
      </c>
      <c r="F247" s="121">
        <v>41403</v>
      </c>
      <c r="G247" s="118">
        <f>41.3+114.65</f>
        <v>155.94999999999999</v>
      </c>
      <c r="H247" s="72"/>
      <c r="I247" s="120">
        <v>225</v>
      </c>
      <c r="J247" s="72"/>
      <c r="K247" s="72"/>
      <c r="L247" s="72"/>
      <c r="M247" s="72"/>
      <c r="N247" s="72"/>
      <c r="O247" s="72"/>
      <c r="P247" s="72"/>
      <c r="Q247" s="63">
        <f t="shared" si="17"/>
        <v>1270.82</v>
      </c>
      <c r="R247" s="72">
        <f t="shared" si="18"/>
        <v>0</v>
      </c>
      <c r="S247" s="63">
        <f t="shared" si="19"/>
        <v>1270.82</v>
      </c>
    </row>
    <row r="248" spans="1:19" x14ac:dyDescent="0.25">
      <c r="A248" s="116" t="s">
        <v>1498</v>
      </c>
      <c r="B248" s="116" t="s">
        <v>1499</v>
      </c>
      <c r="C248" s="117">
        <v>165</v>
      </c>
      <c r="D248" s="91" t="s">
        <v>1500</v>
      </c>
      <c r="E248" s="91" t="s">
        <v>19</v>
      </c>
      <c r="F248" s="121">
        <v>41414</v>
      </c>
      <c r="G248" s="118">
        <f>182.9+238</f>
        <v>420.9</v>
      </c>
      <c r="H248" s="72"/>
      <c r="I248" s="73"/>
      <c r="J248" s="72"/>
      <c r="K248" s="72"/>
      <c r="L248" s="72"/>
      <c r="M248" s="72"/>
      <c r="N248" s="72"/>
      <c r="O248" s="72"/>
      <c r="P248" s="72"/>
      <c r="Q248" s="63">
        <f t="shared" si="17"/>
        <v>155.94999999999999</v>
      </c>
      <c r="R248" s="72">
        <f t="shared" si="18"/>
        <v>0</v>
      </c>
      <c r="S248" s="63">
        <f t="shared" si="19"/>
        <v>155.94999999999999</v>
      </c>
    </row>
    <row r="249" spans="1:19" x14ac:dyDescent="0.25">
      <c r="A249" s="116" t="s">
        <v>1501</v>
      </c>
      <c r="B249" s="116" t="s">
        <v>1502</v>
      </c>
      <c r="C249" s="117">
        <v>166</v>
      </c>
      <c r="D249" s="91" t="s">
        <v>1503</v>
      </c>
      <c r="E249" s="91" t="s">
        <v>19</v>
      </c>
      <c r="F249" s="121">
        <v>41400</v>
      </c>
      <c r="G249" s="97">
        <f>525.1</f>
        <v>525.1</v>
      </c>
      <c r="H249" s="72"/>
      <c r="I249" s="120">
        <v>175</v>
      </c>
      <c r="J249" s="72"/>
      <c r="K249" s="72"/>
      <c r="L249" s="72"/>
      <c r="M249" s="72"/>
      <c r="N249" s="72"/>
      <c r="O249" s="72"/>
      <c r="P249" s="72"/>
      <c r="Q249" s="63">
        <f t="shared" si="17"/>
        <v>595.9</v>
      </c>
      <c r="R249" s="72">
        <f t="shared" si="18"/>
        <v>0</v>
      </c>
      <c r="S249" s="63">
        <f t="shared" si="19"/>
        <v>595.9</v>
      </c>
    </row>
    <row r="250" spans="1:19" x14ac:dyDescent="0.25">
      <c r="A250" s="116" t="s">
        <v>1504</v>
      </c>
      <c r="B250" s="116" t="s">
        <v>1505</v>
      </c>
      <c r="C250" s="117">
        <v>167</v>
      </c>
      <c r="D250" s="91" t="s">
        <v>1506</v>
      </c>
      <c r="E250" s="91" t="s">
        <v>19</v>
      </c>
      <c r="F250" s="121">
        <v>41403</v>
      </c>
      <c r="G250" s="118">
        <f>24.15+93+163+35</f>
        <v>315.14999999999998</v>
      </c>
      <c r="H250" s="72"/>
      <c r="I250" s="120">
        <f>750+500</f>
        <v>1250</v>
      </c>
      <c r="J250" s="72"/>
      <c r="K250" s="72"/>
      <c r="L250" s="72"/>
      <c r="M250" s="72"/>
      <c r="N250" s="72"/>
      <c r="O250" s="72"/>
      <c r="P250" s="72"/>
      <c r="Q250" s="63">
        <f t="shared" si="17"/>
        <v>1775.1</v>
      </c>
      <c r="R250" s="72">
        <f t="shared" si="18"/>
        <v>0</v>
      </c>
      <c r="S250" s="63">
        <f t="shared" si="19"/>
        <v>1775.1</v>
      </c>
    </row>
    <row r="251" spans="1:19" x14ac:dyDescent="0.25">
      <c r="A251" s="116" t="s">
        <v>1507</v>
      </c>
      <c r="B251" s="116" t="s">
        <v>1508</v>
      </c>
      <c r="C251" s="117">
        <v>168</v>
      </c>
      <c r="D251" s="91" t="s">
        <v>1509</v>
      </c>
      <c r="E251" s="91" t="s">
        <v>19</v>
      </c>
      <c r="F251" s="121">
        <v>41479</v>
      </c>
      <c r="G251" s="118">
        <f>614.06</f>
        <v>614.05999999999995</v>
      </c>
      <c r="H251" s="72"/>
      <c r="I251" s="72"/>
      <c r="J251" s="72"/>
      <c r="K251" s="72"/>
      <c r="L251" s="72"/>
      <c r="M251" s="72"/>
      <c r="N251" s="72"/>
      <c r="O251" s="72"/>
      <c r="P251" s="72"/>
      <c r="Q251" s="63">
        <f t="shared" si="17"/>
        <v>315.14999999999998</v>
      </c>
      <c r="R251" s="72">
        <f t="shared" si="18"/>
        <v>0</v>
      </c>
      <c r="S251" s="63">
        <f t="shared" si="19"/>
        <v>315.14999999999998</v>
      </c>
    </row>
    <row r="252" spans="1:19" x14ac:dyDescent="0.25">
      <c r="A252" s="116" t="s">
        <v>1507</v>
      </c>
      <c r="B252" s="116" t="s">
        <v>1508</v>
      </c>
      <c r="C252" s="117">
        <v>168</v>
      </c>
      <c r="D252" s="91" t="s">
        <v>1510</v>
      </c>
      <c r="E252" s="91" t="s">
        <v>19</v>
      </c>
      <c r="F252" s="121">
        <v>41479</v>
      </c>
      <c r="G252" s="118">
        <f>161.42</f>
        <v>161.41999999999999</v>
      </c>
      <c r="H252" s="72"/>
      <c r="I252" s="72"/>
      <c r="J252" s="72"/>
      <c r="K252" s="72"/>
      <c r="L252" s="72"/>
      <c r="M252" s="72"/>
      <c r="N252" s="72"/>
      <c r="O252" s="72"/>
      <c r="P252" s="72"/>
      <c r="Q252" s="63">
        <f t="shared" si="17"/>
        <v>614.05999999999995</v>
      </c>
      <c r="R252" s="72">
        <f t="shared" si="18"/>
        <v>0</v>
      </c>
      <c r="S252" s="63">
        <f t="shared" si="19"/>
        <v>614.05999999999995</v>
      </c>
    </row>
    <row r="253" spans="1:19" x14ac:dyDescent="0.25">
      <c r="A253" s="116" t="s">
        <v>1511</v>
      </c>
      <c r="B253" s="116" t="s">
        <v>1512</v>
      </c>
      <c r="C253" s="117">
        <v>169</v>
      </c>
      <c r="D253" s="91" t="s">
        <v>1513</v>
      </c>
      <c r="E253" s="91" t="s">
        <v>19</v>
      </c>
      <c r="F253" s="121">
        <v>41512</v>
      </c>
      <c r="G253" s="118">
        <f>153.16</f>
        <v>153.16</v>
      </c>
      <c r="H253" s="72"/>
      <c r="I253" s="72"/>
      <c r="J253" s="72"/>
      <c r="K253" s="72"/>
      <c r="L253" s="72"/>
      <c r="M253" s="72"/>
      <c r="N253" s="72"/>
      <c r="O253" s="72"/>
      <c r="P253" s="72"/>
      <c r="Q253" s="63">
        <f t="shared" si="17"/>
        <v>161.41999999999999</v>
      </c>
      <c r="R253" s="72">
        <f t="shared" si="18"/>
        <v>0</v>
      </c>
      <c r="S253" s="63">
        <f t="shared" si="19"/>
        <v>161.41999999999999</v>
      </c>
    </row>
    <row r="254" spans="1:19" x14ac:dyDescent="0.25">
      <c r="A254" s="116" t="s">
        <v>1514</v>
      </c>
      <c r="B254" s="116" t="s">
        <v>1515</v>
      </c>
      <c r="C254" s="117">
        <v>170</v>
      </c>
      <c r="D254" s="91" t="s">
        <v>1516</v>
      </c>
      <c r="E254" s="91" t="s">
        <v>19</v>
      </c>
      <c r="F254" s="121">
        <v>41512</v>
      </c>
      <c r="G254" s="118">
        <f>331.11</f>
        <v>331.11</v>
      </c>
      <c r="H254" s="72"/>
      <c r="I254" s="72"/>
      <c r="J254" s="72"/>
      <c r="K254" s="72"/>
      <c r="L254" s="72"/>
      <c r="M254" s="72"/>
      <c r="N254" s="72"/>
      <c r="O254" s="72"/>
      <c r="P254" s="72"/>
      <c r="Q254" s="63">
        <f t="shared" si="17"/>
        <v>153.16</v>
      </c>
      <c r="R254" s="72">
        <f t="shared" si="18"/>
        <v>0</v>
      </c>
      <c r="S254" s="63">
        <f t="shared" si="19"/>
        <v>153.16</v>
      </c>
    </row>
    <row r="255" spans="1:19" x14ac:dyDescent="0.25">
      <c r="A255" s="116" t="s">
        <v>1517</v>
      </c>
      <c r="B255" s="116" t="s">
        <v>1518</v>
      </c>
      <c r="C255" s="117">
        <v>171</v>
      </c>
      <c r="D255" s="91" t="s">
        <v>1519</v>
      </c>
      <c r="E255" s="91" t="s">
        <v>19</v>
      </c>
      <c r="F255" s="121">
        <v>41512</v>
      </c>
      <c r="G255" s="118">
        <f>111.33</f>
        <v>111.33</v>
      </c>
      <c r="H255" s="72"/>
      <c r="I255" s="72"/>
      <c r="J255" s="72"/>
      <c r="K255" s="72"/>
      <c r="L255" s="72"/>
      <c r="M255" s="72"/>
      <c r="N255" s="72"/>
      <c r="O255" s="72"/>
      <c r="P255" s="72"/>
      <c r="Q255" s="63">
        <f t="shared" si="17"/>
        <v>331.11</v>
      </c>
      <c r="R255" s="72">
        <f t="shared" si="18"/>
        <v>0</v>
      </c>
      <c r="S255" s="63">
        <f t="shared" si="19"/>
        <v>331.11</v>
      </c>
    </row>
    <row r="256" spans="1:19" x14ac:dyDescent="0.25">
      <c r="A256" s="116" t="s">
        <v>1517</v>
      </c>
      <c r="B256" s="116" t="s">
        <v>1518</v>
      </c>
      <c r="C256" s="117">
        <v>171</v>
      </c>
      <c r="D256" s="91" t="s">
        <v>1520</v>
      </c>
      <c r="E256" s="91" t="s">
        <v>19</v>
      </c>
      <c r="F256" s="121">
        <v>41512</v>
      </c>
      <c r="G256" s="118">
        <f>123.13</f>
        <v>123.13</v>
      </c>
      <c r="H256" s="72"/>
      <c r="I256" s="72"/>
      <c r="J256" s="72"/>
      <c r="K256" s="72"/>
      <c r="L256" s="72"/>
      <c r="M256" s="72"/>
      <c r="N256" s="72"/>
      <c r="O256" s="72"/>
      <c r="P256" s="72"/>
      <c r="Q256" s="63">
        <f t="shared" si="17"/>
        <v>111.33</v>
      </c>
      <c r="R256" s="72">
        <f t="shared" si="18"/>
        <v>0</v>
      </c>
      <c r="S256" s="63">
        <f t="shared" si="19"/>
        <v>111.33</v>
      </c>
    </row>
    <row r="257" spans="1:19" x14ac:dyDescent="0.25">
      <c r="A257" s="116" t="s">
        <v>1521</v>
      </c>
      <c r="B257" s="116" t="s">
        <v>1522</v>
      </c>
      <c r="C257" s="117">
        <v>172</v>
      </c>
      <c r="D257" s="91" t="s">
        <v>1523</v>
      </c>
      <c r="E257" s="91" t="s">
        <v>19</v>
      </c>
      <c r="F257" s="121">
        <v>41717</v>
      </c>
      <c r="G257" s="118">
        <v>127.9</v>
      </c>
      <c r="H257" s="72"/>
      <c r="I257" s="72"/>
      <c r="J257" s="72"/>
      <c r="K257" s="72"/>
      <c r="L257" s="72"/>
      <c r="M257" s="72"/>
      <c r="N257" s="72"/>
      <c r="O257" s="72"/>
      <c r="P257" s="72"/>
      <c r="Q257" s="63">
        <f t="shared" si="17"/>
        <v>123.13</v>
      </c>
      <c r="R257" s="72">
        <f t="shared" si="18"/>
        <v>0</v>
      </c>
      <c r="S257" s="63">
        <f t="shared" si="19"/>
        <v>123.13</v>
      </c>
    </row>
    <row r="258" spans="1:19" x14ac:dyDescent="0.25">
      <c r="A258" s="116" t="s">
        <v>1242</v>
      </c>
      <c r="B258" s="116" t="s">
        <v>1243</v>
      </c>
      <c r="C258" s="117">
        <v>173</v>
      </c>
      <c r="D258" s="91" t="s">
        <v>1524</v>
      </c>
      <c r="E258" s="91" t="s">
        <v>19</v>
      </c>
      <c r="F258" s="121">
        <v>41717</v>
      </c>
      <c r="G258" s="118">
        <v>84</v>
      </c>
      <c r="H258" s="72"/>
      <c r="I258" s="72"/>
      <c r="J258" s="72"/>
      <c r="K258" s="72"/>
      <c r="L258" s="72"/>
      <c r="M258" s="72"/>
      <c r="N258" s="72"/>
      <c r="O258" s="72"/>
      <c r="P258" s="72"/>
      <c r="Q258" s="63">
        <f t="shared" si="17"/>
        <v>127.9</v>
      </c>
      <c r="R258" s="72">
        <f t="shared" si="18"/>
        <v>0</v>
      </c>
      <c r="S258" s="63">
        <f t="shared" si="19"/>
        <v>127.9</v>
      </c>
    </row>
    <row r="259" spans="1:19" x14ac:dyDescent="0.25">
      <c r="A259" s="116" t="s">
        <v>1525</v>
      </c>
      <c r="B259" s="116" t="s">
        <v>1526</v>
      </c>
      <c r="C259" s="117">
        <v>174</v>
      </c>
      <c r="D259" s="91" t="s">
        <v>1527</v>
      </c>
      <c r="E259" s="91" t="s">
        <v>19</v>
      </c>
      <c r="F259" s="121">
        <v>41766</v>
      </c>
      <c r="G259" s="118">
        <v>113.9</v>
      </c>
      <c r="H259" s="72"/>
      <c r="I259" s="72"/>
      <c r="J259" s="72"/>
      <c r="K259" s="72"/>
      <c r="L259" s="72"/>
      <c r="M259" s="72"/>
      <c r="N259" s="72"/>
      <c r="O259" s="72"/>
      <c r="P259" s="72"/>
      <c r="Q259" s="63">
        <f t="shared" si="17"/>
        <v>84</v>
      </c>
      <c r="R259" s="72">
        <f t="shared" si="18"/>
        <v>0</v>
      </c>
      <c r="S259" s="63">
        <f t="shared" si="19"/>
        <v>84</v>
      </c>
    </row>
    <row r="260" spans="1:19" x14ac:dyDescent="0.25">
      <c r="A260" s="116" t="s">
        <v>1528</v>
      </c>
      <c r="B260" s="116" t="s">
        <v>1529</v>
      </c>
      <c r="C260" s="117">
        <v>175</v>
      </c>
      <c r="D260" s="91" t="s">
        <v>1530</v>
      </c>
      <c r="E260" s="91" t="s">
        <v>19</v>
      </c>
      <c r="F260" s="121">
        <v>41717</v>
      </c>
      <c r="G260" s="118">
        <v>139</v>
      </c>
      <c r="H260" s="72"/>
      <c r="I260" s="72"/>
      <c r="J260" s="72"/>
      <c r="K260" s="72"/>
      <c r="L260" s="72"/>
      <c r="M260" s="72"/>
      <c r="N260" s="72"/>
      <c r="O260" s="72"/>
      <c r="P260" s="72"/>
      <c r="Q260" s="63">
        <f t="shared" si="17"/>
        <v>113.9</v>
      </c>
      <c r="R260" s="72">
        <f t="shared" si="18"/>
        <v>0</v>
      </c>
      <c r="S260" s="63">
        <f t="shared" si="19"/>
        <v>113.9</v>
      </c>
    </row>
    <row r="261" spans="1:19" x14ac:dyDescent="0.25">
      <c r="A261" s="116">
        <v>76080</v>
      </c>
      <c r="B261" s="116" t="s">
        <v>1531</v>
      </c>
      <c r="C261" s="117">
        <v>176</v>
      </c>
      <c r="D261" s="91" t="s">
        <v>1532</v>
      </c>
      <c r="E261" s="91" t="s">
        <v>19</v>
      </c>
      <c r="F261" s="121">
        <v>41409</v>
      </c>
      <c r="G261" s="118">
        <f>163</f>
        <v>163</v>
      </c>
      <c r="H261" s="72"/>
      <c r="I261" s="72"/>
      <c r="J261" s="72"/>
      <c r="K261" s="72"/>
      <c r="L261" s="72"/>
      <c r="M261" s="72"/>
      <c r="N261" s="72"/>
      <c r="O261" s="72"/>
      <c r="P261" s="72"/>
      <c r="Q261" s="63">
        <f t="shared" si="17"/>
        <v>139</v>
      </c>
      <c r="R261" s="72">
        <f t="shared" si="18"/>
        <v>0</v>
      </c>
      <c r="S261" s="63">
        <f t="shared" si="19"/>
        <v>139</v>
      </c>
    </row>
    <row r="262" spans="1:19" x14ac:dyDescent="0.25">
      <c r="A262" s="116" t="s">
        <v>1533</v>
      </c>
      <c r="B262" s="116" t="s">
        <v>1534</v>
      </c>
      <c r="C262" s="117">
        <v>177</v>
      </c>
      <c r="D262" s="91" t="s">
        <v>1535</v>
      </c>
      <c r="E262" s="91" t="s">
        <v>19</v>
      </c>
      <c r="F262" s="121">
        <v>41512</v>
      </c>
      <c r="G262" s="118">
        <f>202.19</f>
        <v>202.19</v>
      </c>
      <c r="H262" s="72"/>
      <c r="I262" s="72"/>
      <c r="J262" s="72"/>
      <c r="K262" s="72"/>
      <c r="L262" s="72"/>
      <c r="M262" s="72"/>
      <c r="N262" s="72"/>
      <c r="O262" s="72"/>
      <c r="P262" s="72"/>
      <c r="Q262" s="63">
        <f t="shared" si="17"/>
        <v>163</v>
      </c>
      <c r="R262" s="72">
        <f t="shared" si="18"/>
        <v>0</v>
      </c>
      <c r="S262" s="63">
        <f t="shared" si="19"/>
        <v>163</v>
      </c>
    </row>
    <row r="263" spans="1:19" x14ac:dyDescent="0.25">
      <c r="A263" s="116" t="s">
        <v>1536</v>
      </c>
      <c r="B263" s="116" t="s">
        <v>357</v>
      </c>
      <c r="C263" s="117">
        <v>178</v>
      </c>
      <c r="D263" s="91" t="s">
        <v>1537</v>
      </c>
      <c r="E263" s="91" t="s">
        <v>19</v>
      </c>
      <c r="F263" s="121">
        <v>41435</v>
      </c>
      <c r="G263" s="118">
        <f>332.23</f>
        <v>332.23</v>
      </c>
      <c r="H263" s="72"/>
      <c r="I263" s="72"/>
      <c r="J263" s="72"/>
      <c r="K263" s="72"/>
      <c r="L263" s="72"/>
      <c r="M263" s="72"/>
      <c r="N263" s="72"/>
      <c r="O263" s="72"/>
      <c r="P263" s="72"/>
      <c r="Q263" s="63">
        <f t="shared" si="17"/>
        <v>202.19</v>
      </c>
      <c r="R263" s="72">
        <f t="shared" si="18"/>
        <v>0</v>
      </c>
      <c r="S263" s="63">
        <f t="shared" si="19"/>
        <v>202.19</v>
      </c>
    </row>
    <row r="264" spans="1:19" x14ac:dyDescent="0.25">
      <c r="A264" s="116" t="s">
        <v>1538</v>
      </c>
      <c r="B264" s="116" t="s">
        <v>431</v>
      </c>
      <c r="C264" s="117">
        <v>179</v>
      </c>
      <c r="D264" s="91" t="s">
        <v>1539</v>
      </c>
      <c r="E264" s="91" t="s">
        <v>19</v>
      </c>
      <c r="F264" s="121">
        <v>41435</v>
      </c>
      <c r="G264" s="118">
        <f>272.46</f>
        <v>272.45999999999998</v>
      </c>
      <c r="H264" s="72"/>
      <c r="I264" s="72"/>
      <c r="J264" s="72"/>
      <c r="K264" s="72"/>
      <c r="L264" s="72"/>
      <c r="M264" s="72"/>
      <c r="N264" s="72"/>
      <c r="O264" s="72"/>
      <c r="P264" s="72"/>
      <c r="Q264" s="63">
        <f t="shared" si="17"/>
        <v>332.23</v>
      </c>
      <c r="R264" s="72">
        <f t="shared" si="18"/>
        <v>0</v>
      </c>
      <c r="S264" s="63">
        <f t="shared" si="19"/>
        <v>332.23</v>
      </c>
    </row>
    <row r="265" spans="1:19" x14ac:dyDescent="0.25">
      <c r="A265" s="116" t="s">
        <v>1540</v>
      </c>
      <c r="B265" s="116" t="s">
        <v>1541</v>
      </c>
      <c r="C265" s="117">
        <v>180</v>
      </c>
      <c r="D265" s="91" t="s">
        <v>1542</v>
      </c>
      <c r="E265" s="91" t="s">
        <v>19</v>
      </c>
      <c r="F265" s="121">
        <v>41431</v>
      </c>
      <c r="G265" s="118">
        <f>58.47</f>
        <v>58.47</v>
      </c>
      <c r="H265" s="72"/>
      <c r="I265" s="72"/>
      <c r="J265" s="72"/>
      <c r="K265" s="72"/>
      <c r="L265" s="72"/>
      <c r="M265" s="72"/>
      <c r="N265" s="72"/>
      <c r="O265" s="72"/>
      <c r="P265" s="72"/>
      <c r="Q265" s="63">
        <f t="shared" si="17"/>
        <v>272.45999999999998</v>
      </c>
      <c r="R265" s="72">
        <f t="shared" si="18"/>
        <v>0</v>
      </c>
      <c r="S265" s="63">
        <f t="shared" si="19"/>
        <v>272.45999999999998</v>
      </c>
    </row>
    <row r="266" spans="1:19" x14ac:dyDescent="0.25">
      <c r="A266" s="116" t="s">
        <v>1540</v>
      </c>
      <c r="B266" s="116" t="s">
        <v>1541</v>
      </c>
      <c r="C266" s="117">
        <v>180</v>
      </c>
      <c r="D266" s="91" t="s">
        <v>1543</v>
      </c>
      <c r="E266" s="91" t="s">
        <v>19</v>
      </c>
      <c r="F266" s="121">
        <v>41431</v>
      </c>
      <c r="G266" s="118">
        <v>92.69</v>
      </c>
      <c r="H266" s="72"/>
      <c r="I266" s="72"/>
      <c r="J266" s="72"/>
      <c r="K266" s="72"/>
      <c r="L266" s="72"/>
      <c r="M266" s="72"/>
      <c r="N266" s="72"/>
      <c r="O266" s="72"/>
      <c r="P266" s="72"/>
      <c r="Q266" s="63">
        <f t="shared" si="17"/>
        <v>58.47</v>
      </c>
      <c r="R266" s="72">
        <f t="shared" si="18"/>
        <v>0</v>
      </c>
      <c r="S266" s="63">
        <f t="shared" si="19"/>
        <v>58.47</v>
      </c>
    </row>
    <row r="267" spans="1:19" x14ac:dyDescent="0.25">
      <c r="A267" s="116" t="s">
        <v>1540</v>
      </c>
      <c r="B267" s="116" t="s">
        <v>1541</v>
      </c>
      <c r="C267" s="117">
        <v>180</v>
      </c>
      <c r="D267" s="91" t="s">
        <v>1544</v>
      </c>
      <c r="E267" s="91" t="s">
        <v>19</v>
      </c>
      <c r="F267" s="121">
        <v>41431</v>
      </c>
      <c r="G267" s="118">
        <f>83.25</f>
        <v>83.25</v>
      </c>
      <c r="H267" s="72"/>
      <c r="I267" s="72"/>
      <c r="J267" s="72"/>
      <c r="K267" s="72"/>
      <c r="L267" s="72"/>
      <c r="M267" s="72"/>
      <c r="N267" s="72"/>
      <c r="O267" s="72"/>
      <c r="P267" s="72"/>
      <c r="Q267" s="63">
        <f t="shared" si="17"/>
        <v>92.69</v>
      </c>
      <c r="R267" s="72">
        <f t="shared" si="18"/>
        <v>0</v>
      </c>
      <c r="S267" s="63">
        <f t="shared" si="19"/>
        <v>92.69</v>
      </c>
    </row>
    <row r="268" spans="1:19" x14ac:dyDescent="0.25">
      <c r="A268" s="116" t="s">
        <v>1540</v>
      </c>
      <c r="B268" s="116" t="s">
        <v>1541</v>
      </c>
      <c r="C268" s="117">
        <v>180</v>
      </c>
      <c r="D268" s="91" t="s">
        <v>1545</v>
      </c>
      <c r="E268" s="91" t="s">
        <v>19</v>
      </c>
      <c r="F268" s="121">
        <v>41431</v>
      </c>
      <c r="G268" s="118">
        <f>120.54</f>
        <v>120.54</v>
      </c>
      <c r="H268" s="72"/>
      <c r="I268" s="72"/>
      <c r="J268" s="72"/>
      <c r="K268" s="72"/>
      <c r="L268" s="72"/>
      <c r="M268" s="72"/>
      <c r="N268" s="72"/>
      <c r="O268" s="72"/>
      <c r="P268" s="72"/>
      <c r="Q268" s="63">
        <f t="shared" si="17"/>
        <v>83.25</v>
      </c>
      <c r="R268" s="72">
        <f t="shared" si="18"/>
        <v>0</v>
      </c>
      <c r="S268" s="63">
        <f t="shared" si="19"/>
        <v>83.25</v>
      </c>
    </row>
    <row r="269" spans="1:19" x14ac:dyDescent="0.25">
      <c r="A269" s="116" t="s">
        <v>1540</v>
      </c>
      <c r="B269" s="116" t="s">
        <v>1541</v>
      </c>
      <c r="C269" s="117">
        <v>180</v>
      </c>
      <c r="D269" s="91" t="s">
        <v>1546</v>
      </c>
      <c r="E269" s="91" t="s">
        <v>19</v>
      </c>
      <c r="F269" s="121">
        <v>41431</v>
      </c>
      <c r="G269" s="118">
        <f>117.35</f>
        <v>117.35</v>
      </c>
      <c r="H269" s="72"/>
      <c r="I269" s="72"/>
      <c r="J269" s="72"/>
      <c r="K269" s="72"/>
      <c r="L269" s="72"/>
      <c r="M269" s="72"/>
      <c r="N269" s="72"/>
      <c r="O269" s="72"/>
      <c r="P269" s="72"/>
      <c r="Q269" s="63">
        <f t="shared" si="17"/>
        <v>120.54</v>
      </c>
      <c r="R269" s="72">
        <f t="shared" si="18"/>
        <v>0</v>
      </c>
      <c r="S269" s="63">
        <f t="shared" si="19"/>
        <v>120.54</v>
      </c>
    </row>
    <row r="270" spans="1:19" x14ac:dyDescent="0.25">
      <c r="A270" s="116" t="s">
        <v>1547</v>
      </c>
      <c r="B270" s="116" t="s">
        <v>1548</v>
      </c>
      <c r="C270" s="117">
        <v>181</v>
      </c>
      <c r="D270" s="91" t="s">
        <v>1549</v>
      </c>
      <c r="E270" s="91" t="s">
        <v>19</v>
      </c>
      <c r="F270" s="121">
        <v>41435</v>
      </c>
      <c r="G270" s="118">
        <f>149.39</f>
        <v>149.38999999999999</v>
      </c>
      <c r="H270" s="72"/>
      <c r="I270" s="72"/>
      <c r="J270" s="72"/>
      <c r="K270" s="72"/>
      <c r="L270" s="72"/>
      <c r="M270" s="72"/>
      <c r="N270" s="72"/>
      <c r="O270" s="72"/>
      <c r="P270" s="72"/>
      <c r="Q270" s="63">
        <f t="shared" si="17"/>
        <v>117.35</v>
      </c>
      <c r="R270" s="72">
        <f t="shared" si="18"/>
        <v>0</v>
      </c>
      <c r="S270" s="63">
        <f t="shared" si="19"/>
        <v>117.35</v>
      </c>
    </row>
    <row r="271" spans="1:19" x14ac:dyDescent="0.25">
      <c r="A271" s="116" t="s">
        <v>1550</v>
      </c>
      <c r="B271" s="116" t="s">
        <v>1551</v>
      </c>
      <c r="C271" s="117">
        <v>182</v>
      </c>
      <c r="D271" s="91" t="s">
        <v>1552</v>
      </c>
      <c r="E271" s="91" t="s">
        <v>19</v>
      </c>
      <c r="F271" s="121">
        <v>41435</v>
      </c>
      <c r="G271" s="118">
        <f>145.97</f>
        <v>145.97</v>
      </c>
      <c r="H271" s="72"/>
      <c r="I271" s="72"/>
      <c r="J271" s="72"/>
      <c r="K271" s="72"/>
      <c r="L271" s="72"/>
      <c r="M271" s="72"/>
      <c r="N271" s="72"/>
      <c r="O271" s="72"/>
      <c r="P271" s="72"/>
      <c r="Q271" s="63">
        <f t="shared" si="17"/>
        <v>149.38999999999999</v>
      </c>
      <c r="R271" s="72">
        <f t="shared" si="18"/>
        <v>0</v>
      </c>
      <c r="S271" s="63">
        <f t="shared" si="19"/>
        <v>149.38999999999999</v>
      </c>
    </row>
    <row r="272" spans="1:19" x14ac:dyDescent="0.25">
      <c r="A272" s="116" t="s">
        <v>1553</v>
      </c>
      <c r="B272" s="116" t="s">
        <v>1554</v>
      </c>
      <c r="C272" s="117">
        <v>183</v>
      </c>
      <c r="D272" s="91" t="s">
        <v>1555</v>
      </c>
      <c r="E272" s="91" t="s">
        <v>19</v>
      </c>
      <c r="F272" s="121">
        <v>41593</v>
      </c>
      <c r="G272" s="118">
        <f>130.63</f>
        <v>130.63</v>
      </c>
      <c r="H272" s="72"/>
      <c r="I272" s="72"/>
      <c r="J272" s="72"/>
      <c r="K272" s="72"/>
      <c r="L272" s="72"/>
      <c r="M272" s="72"/>
      <c r="N272" s="72"/>
      <c r="O272" s="72"/>
      <c r="P272" s="72"/>
      <c r="Q272" s="63">
        <f t="shared" si="17"/>
        <v>145.97</v>
      </c>
      <c r="R272" s="72">
        <f t="shared" si="18"/>
        <v>0</v>
      </c>
      <c r="S272" s="63">
        <f t="shared" si="19"/>
        <v>145.97</v>
      </c>
    </row>
    <row r="273" spans="1:19" x14ac:dyDescent="0.25">
      <c r="A273" s="116" t="s">
        <v>1556</v>
      </c>
      <c r="B273" s="116" t="s">
        <v>1557</v>
      </c>
      <c r="C273" s="117">
        <v>184</v>
      </c>
      <c r="D273" s="91" t="s">
        <v>1558</v>
      </c>
      <c r="E273" s="91" t="s">
        <v>19</v>
      </c>
      <c r="F273" s="121">
        <v>41435</v>
      </c>
      <c r="G273" s="118">
        <f>73.16</f>
        <v>73.16</v>
      </c>
      <c r="H273" s="72"/>
      <c r="I273" s="72"/>
      <c r="J273" s="72"/>
      <c r="K273" s="72"/>
      <c r="L273" s="72"/>
      <c r="M273" s="72"/>
      <c r="N273" s="72"/>
      <c r="O273" s="72"/>
      <c r="P273" s="72"/>
      <c r="Q273" s="63">
        <f t="shared" si="17"/>
        <v>130.63</v>
      </c>
      <c r="R273" s="72">
        <f t="shared" si="18"/>
        <v>0</v>
      </c>
      <c r="S273" s="63">
        <f t="shared" si="19"/>
        <v>130.63</v>
      </c>
    </row>
    <row r="274" spans="1:19" x14ac:dyDescent="0.25">
      <c r="A274" s="116" t="s">
        <v>1559</v>
      </c>
      <c r="B274" s="116" t="s">
        <v>1560</v>
      </c>
      <c r="C274" s="117">
        <v>185</v>
      </c>
      <c r="D274" s="91" t="s">
        <v>1561</v>
      </c>
      <c r="E274" s="91" t="s">
        <v>19</v>
      </c>
      <c r="F274" s="121">
        <v>41425</v>
      </c>
      <c r="G274" s="118">
        <f>238+277.9+240+3034.9+923.11</f>
        <v>4713.91</v>
      </c>
      <c r="H274" s="72"/>
      <c r="I274" s="120">
        <v>2500</v>
      </c>
      <c r="J274" s="72"/>
      <c r="K274" s="72"/>
      <c r="L274" s="72"/>
      <c r="M274" s="72"/>
      <c r="N274" s="72"/>
      <c r="O274" s="72"/>
      <c r="P274" s="72"/>
      <c r="Q274" s="63">
        <f t="shared" si="17"/>
        <v>2573.16</v>
      </c>
      <c r="R274" s="72">
        <f t="shared" si="18"/>
        <v>0</v>
      </c>
      <c r="S274" s="63">
        <f t="shared" si="19"/>
        <v>2573.16</v>
      </c>
    </row>
    <row r="275" spans="1:19" x14ac:dyDescent="0.25">
      <c r="A275" s="116" t="s">
        <v>1562</v>
      </c>
      <c r="B275" s="116" t="s">
        <v>1563</v>
      </c>
      <c r="C275" s="117">
        <v>186</v>
      </c>
      <c r="D275" s="91" t="s">
        <v>1564</v>
      </c>
      <c r="E275" s="91" t="s">
        <v>19</v>
      </c>
      <c r="F275" s="121">
        <v>41397</v>
      </c>
      <c r="G275" s="118">
        <v>81.93</v>
      </c>
      <c r="H275" s="72"/>
      <c r="I275" s="73"/>
      <c r="J275" s="72"/>
      <c r="K275" s="72"/>
      <c r="L275" s="72"/>
      <c r="M275" s="72"/>
      <c r="N275" s="72"/>
      <c r="O275" s="72"/>
      <c r="P275" s="72"/>
      <c r="Q275" s="63">
        <f t="shared" si="17"/>
        <v>4713.91</v>
      </c>
      <c r="R275" s="72">
        <f t="shared" si="18"/>
        <v>0</v>
      </c>
      <c r="S275" s="63">
        <f t="shared" si="19"/>
        <v>4713.91</v>
      </c>
    </row>
    <row r="276" spans="1:19" x14ac:dyDescent="0.25">
      <c r="A276" s="116" t="s">
        <v>1565</v>
      </c>
      <c r="B276" s="116" t="s">
        <v>1566</v>
      </c>
      <c r="C276" s="117">
        <v>187</v>
      </c>
      <c r="D276" s="91" t="s">
        <v>1567</v>
      </c>
      <c r="E276" s="91" t="s">
        <v>19</v>
      </c>
      <c r="F276" s="121">
        <v>41458</v>
      </c>
      <c r="G276" s="118">
        <f>39.45+154.2+116+151</f>
        <v>460.65</v>
      </c>
      <c r="H276" s="72"/>
      <c r="I276" s="120">
        <f>750</f>
        <v>750</v>
      </c>
      <c r="J276" s="72"/>
      <c r="K276" s="72"/>
      <c r="L276" s="72"/>
      <c r="M276" s="72"/>
      <c r="N276" s="72"/>
      <c r="O276" s="72"/>
      <c r="P276" s="72"/>
      <c r="Q276" s="63">
        <f t="shared" si="17"/>
        <v>831.93000000000006</v>
      </c>
      <c r="R276" s="72">
        <f t="shared" si="18"/>
        <v>0</v>
      </c>
      <c r="S276" s="63">
        <f t="shared" si="19"/>
        <v>831.93000000000006</v>
      </c>
    </row>
    <row r="277" spans="1:19" x14ac:dyDescent="0.25">
      <c r="A277" s="116" t="s">
        <v>1568</v>
      </c>
      <c r="B277" s="116" t="s">
        <v>1569</v>
      </c>
      <c r="C277" s="117">
        <v>188</v>
      </c>
      <c r="D277" s="91" t="s">
        <v>1570</v>
      </c>
      <c r="E277" s="91" t="s">
        <v>19</v>
      </c>
      <c r="F277" s="121">
        <v>41431</v>
      </c>
      <c r="G277" s="118">
        <f>47.2+177.19+47.2+263.27</f>
        <v>534.8599999999999</v>
      </c>
      <c r="H277" s="72"/>
      <c r="I277" s="120">
        <v>450</v>
      </c>
      <c r="J277" s="72"/>
      <c r="K277" s="72"/>
      <c r="L277" s="72"/>
      <c r="M277" s="72"/>
      <c r="N277" s="72"/>
      <c r="O277" s="72"/>
      <c r="P277" s="72"/>
      <c r="Q277" s="63">
        <f t="shared" si="17"/>
        <v>910.65</v>
      </c>
      <c r="R277" s="72">
        <f t="shared" si="18"/>
        <v>0</v>
      </c>
      <c r="S277" s="63">
        <f t="shared" si="19"/>
        <v>910.65</v>
      </c>
    </row>
    <row r="278" spans="1:19" x14ac:dyDescent="0.25">
      <c r="A278" s="116" t="s">
        <v>1568</v>
      </c>
      <c r="B278" s="116" t="s">
        <v>1569</v>
      </c>
      <c r="C278" s="117">
        <v>188</v>
      </c>
      <c r="D278" s="91" t="s">
        <v>1571</v>
      </c>
      <c r="E278" s="91" t="s">
        <v>19</v>
      </c>
      <c r="F278" s="121">
        <v>41431</v>
      </c>
      <c r="G278" s="118">
        <f>67.81</f>
        <v>67.81</v>
      </c>
      <c r="H278" s="72"/>
      <c r="I278" s="73"/>
      <c r="J278" s="72"/>
      <c r="K278" s="72"/>
      <c r="L278" s="72"/>
      <c r="M278" s="72"/>
      <c r="N278" s="72"/>
      <c r="O278" s="72"/>
      <c r="P278" s="72"/>
      <c r="Q278" s="63">
        <f t="shared" si="17"/>
        <v>534.8599999999999</v>
      </c>
      <c r="R278" s="72">
        <f t="shared" si="18"/>
        <v>0</v>
      </c>
      <c r="S278" s="63">
        <f t="shared" si="19"/>
        <v>534.8599999999999</v>
      </c>
    </row>
    <row r="279" spans="1:19" x14ac:dyDescent="0.25">
      <c r="A279" s="116" t="s">
        <v>1568</v>
      </c>
      <c r="B279" s="116" t="s">
        <v>1569</v>
      </c>
      <c r="C279" s="117">
        <v>188</v>
      </c>
      <c r="D279" s="91" t="s">
        <v>1572</v>
      </c>
      <c r="E279" s="91" t="s">
        <v>19</v>
      </c>
      <c r="F279" s="121">
        <v>41431</v>
      </c>
      <c r="G279" s="118">
        <f>47.2+47.2+152.97</f>
        <v>247.37</v>
      </c>
      <c r="H279" s="72"/>
      <c r="I279" s="72"/>
      <c r="J279" s="72"/>
      <c r="K279" s="72"/>
      <c r="L279" s="72"/>
      <c r="M279" s="72"/>
      <c r="N279" s="72"/>
      <c r="O279" s="72"/>
      <c r="P279" s="72"/>
      <c r="Q279" s="63">
        <f t="shared" si="17"/>
        <v>67.81</v>
      </c>
      <c r="R279" s="72">
        <f t="shared" si="18"/>
        <v>0</v>
      </c>
      <c r="S279" s="63">
        <f t="shared" si="19"/>
        <v>67.81</v>
      </c>
    </row>
    <row r="280" spans="1:19" x14ac:dyDescent="0.25">
      <c r="A280" s="116" t="s">
        <v>1573</v>
      </c>
      <c r="B280" s="116" t="s">
        <v>1574</v>
      </c>
      <c r="C280" s="117">
        <v>189</v>
      </c>
      <c r="D280" s="91" t="s">
        <v>1575</v>
      </c>
      <c r="E280" s="91" t="s">
        <v>19</v>
      </c>
      <c r="F280" s="121">
        <v>41397</v>
      </c>
      <c r="G280" s="118">
        <v>47.2</v>
      </c>
      <c r="H280" s="72"/>
      <c r="I280" s="72"/>
      <c r="J280" s="72"/>
      <c r="K280" s="72"/>
      <c r="L280" s="72"/>
      <c r="M280" s="72"/>
      <c r="N280" s="72"/>
      <c r="O280" s="72"/>
      <c r="P280" s="72"/>
      <c r="Q280" s="63">
        <f t="shared" ref="Q280:Q314" si="20">+G279+I280+K280+M280+O280</f>
        <v>247.37</v>
      </c>
      <c r="R280" s="72">
        <f t="shared" ref="R280:R314" si="21">+H280+J280+L280+N280+P280</f>
        <v>0</v>
      </c>
      <c r="S280" s="63">
        <f t="shared" ref="S280:S314" si="22">+Q280+R280</f>
        <v>247.37</v>
      </c>
    </row>
    <row r="281" spans="1:19" x14ac:dyDescent="0.25">
      <c r="A281" s="116" t="s">
        <v>1573</v>
      </c>
      <c r="B281" s="116" t="s">
        <v>1574</v>
      </c>
      <c r="C281" s="117">
        <v>189</v>
      </c>
      <c r="D281" s="91" t="s">
        <v>1576</v>
      </c>
      <c r="E281" s="91" t="s">
        <v>19</v>
      </c>
      <c r="F281" s="121">
        <v>41397</v>
      </c>
      <c r="G281" s="118">
        <v>131.07</v>
      </c>
      <c r="H281" s="72"/>
      <c r="I281" s="72"/>
      <c r="J281" s="72"/>
      <c r="K281" s="72"/>
      <c r="L281" s="72"/>
      <c r="M281" s="72"/>
      <c r="N281" s="72"/>
      <c r="O281" s="72"/>
      <c r="P281" s="72"/>
      <c r="Q281" s="63">
        <f t="shared" si="20"/>
        <v>47.2</v>
      </c>
      <c r="R281" s="72">
        <f t="shared" si="21"/>
        <v>0</v>
      </c>
      <c r="S281" s="63">
        <f t="shared" si="22"/>
        <v>47.2</v>
      </c>
    </row>
    <row r="282" spans="1:19" x14ac:dyDescent="0.25">
      <c r="A282" s="116" t="s">
        <v>1577</v>
      </c>
      <c r="B282" s="116" t="s">
        <v>1578</v>
      </c>
      <c r="C282" s="117">
        <v>190</v>
      </c>
      <c r="D282" s="91" t="s">
        <v>1579</v>
      </c>
      <c r="E282" s="91" t="s">
        <v>19</v>
      </c>
      <c r="F282" s="121">
        <v>41397</v>
      </c>
      <c r="G282" s="77"/>
      <c r="H282" s="72"/>
      <c r="I282" s="72"/>
      <c r="J282" s="72"/>
      <c r="K282" s="72"/>
      <c r="L282" s="72"/>
      <c r="M282" s="72"/>
      <c r="N282" s="72"/>
      <c r="O282" s="72"/>
      <c r="P282" s="72"/>
      <c r="Q282" s="63">
        <f t="shared" si="20"/>
        <v>131.07</v>
      </c>
      <c r="R282" s="72">
        <f t="shared" si="21"/>
        <v>0</v>
      </c>
      <c r="S282" s="63">
        <f t="shared" si="22"/>
        <v>131.07</v>
      </c>
    </row>
    <row r="283" spans="1:19" x14ac:dyDescent="0.25">
      <c r="A283" s="116" t="s">
        <v>1577</v>
      </c>
      <c r="B283" s="116" t="s">
        <v>1578</v>
      </c>
      <c r="C283" s="117">
        <v>190</v>
      </c>
      <c r="D283" s="91" t="s">
        <v>1580</v>
      </c>
      <c r="E283" s="91" t="s">
        <v>19</v>
      </c>
      <c r="F283" s="121">
        <v>41397</v>
      </c>
      <c r="G283" s="118">
        <v>124.83</v>
      </c>
      <c r="H283" s="72"/>
      <c r="I283" s="72"/>
      <c r="J283" s="72"/>
      <c r="K283" s="72"/>
      <c r="L283" s="72"/>
      <c r="M283" s="72"/>
      <c r="N283" s="72"/>
      <c r="O283" s="72"/>
      <c r="P283" s="72"/>
      <c r="Q283" s="63">
        <f t="shared" si="20"/>
        <v>0</v>
      </c>
      <c r="R283" s="72">
        <f t="shared" si="21"/>
        <v>0</v>
      </c>
      <c r="S283" s="63">
        <f t="shared" si="22"/>
        <v>0</v>
      </c>
    </row>
    <row r="284" spans="1:19" x14ac:dyDescent="0.25">
      <c r="A284" s="116" t="s">
        <v>1581</v>
      </c>
      <c r="B284" s="116" t="s">
        <v>1582</v>
      </c>
      <c r="C284" s="117">
        <v>191</v>
      </c>
      <c r="D284" s="91" t="s">
        <v>1583</v>
      </c>
      <c r="E284" s="91" t="s">
        <v>19</v>
      </c>
      <c r="F284" s="121">
        <v>41424</v>
      </c>
      <c r="G284" s="118">
        <f>62.43+41.1+138.1+47.2+47.2+62.39+129.4</f>
        <v>527.81999999999994</v>
      </c>
      <c r="H284" s="72"/>
      <c r="I284" s="120">
        <v>475</v>
      </c>
      <c r="J284" s="72"/>
      <c r="K284" s="72"/>
      <c r="L284" s="72"/>
      <c r="M284" s="72"/>
      <c r="N284" s="72"/>
      <c r="O284" s="72"/>
      <c r="P284" s="72"/>
      <c r="Q284" s="63">
        <f t="shared" si="20"/>
        <v>599.83000000000004</v>
      </c>
      <c r="R284" s="72">
        <f t="shared" si="21"/>
        <v>0</v>
      </c>
      <c r="S284" s="63">
        <f t="shared" si="22"/>
        <v>599.83000000000004</v>
      </c>
    </row>
    <row r="285" spans="1:19" x14ac:dyDescent="0.25">
      <c r="A285" s="116" t="s">
        <v>1584</v>
      </c>
      <c r="B285" s="116" t="s">
        <v>1585</v>
      </c>
      <c r="C285" s="117">
        <v>192</v>
      </c>
      <c r="D285" s="91" t="s">
        <v>1586</v>
      </c>
      <c r="E285" s="91" t="s">
        <v>19</v>
      </c>
      <c r="F285" s="121">
        <v>41422</v>
      </c>
      <c r="G285" s="118">
        <f>238+950.8</f>
        <v>1188.8</v>
      </c>
      <c r="H285" s="72"/>
      <c r="I285" s="73"/>
      <c r="J285" s="72"/>
      <c r="K285" s="72"/>
      <c r="L285" s="72"/>
      <c r="M285" s="72"/>
      <c r="N285" s="72"/>
      <c r="O285" s="72"/>
      <c r="P285" s="72"/>
      <c r="Q285" s="63">
        <f t="shared" si="20"/>
        <v>527.81999999999994</v>
      </c>
      <c r="R285" s="72">
        <f t="shared" si="21"/>
        <v>0</v>
      </c>
      <c r="S285" s="63">
        <f t="shared" si="22"/>
        <v>527.81999999999994</v>
      </c>
    </row>
    <row r="286" spans="1:19" x14ac:dyDescent="0.25">
      <c r="A286" s="116" t="s">
        <v>1587</v>
      </c>
      <c r="B286" s="116" t="s">
        <v>1588</v>
      </c>
      <c r="C286" s="117">
        <v>193</v>
      </c>
      <c r="D286" s="91" t="s">
        <v>1589</v>
      </c>
      <c r="E286" s="91" t="s">
        <v>19</v>
      </c>
      <c r="F286" s="121">
        <v>41422</v>
      </c>
      <c r="G286" s="118">
        <f>238+152+400.8</f>
        <v>790.8</v>
      </c>
      <c r="H286" s="72"/>
      <c r="I286" s="120">
        <f>200</f>
        <v>200</v>
      </c>
      <c r="J286" s="72"/>
      <c r="K286" s="72"/>
      <c r="L286" s="72"/>
      <c r="M286" s="72"/>
      <c r="N286" s="72"/>
      <c r="O286" s="72"/>
      <c r="P286" s="72"/>
      <c r="Q286" s="63">
        <f t="shared" si="20"/>
        <v>1388.8</v>
      </c>
      <c r="R286" s="72">
        <f t="shared" si="21"/>
        <v>0</v>
      </c>
      <c r="S286" s="63">
        <f t="shared" si="22"/>
        <v>1388.8</v>
      </c>
    </row>
    <row r="287" spans="1:19" x14ac:dyDescent="0.25">
      <c r="A287" s="116" t="s">
        <v>1590</v>
      </c>
      <c r="B287" s="116" t="s">
        <v>1591</v>
      </c>
      <c r="C287" s="117">
        <v>194</v>
      </c>
      <c r="D287" s="91" t="s">
        <v>1592</v>
      </c>
      <c r="E287" s="91" t="s">
        <v>19</v>
      </c>
      <c r="F287" s="121">
        <v>41422</v>
      </c>
      <c r="G287" s="118">
        <f>238+210.6</f>
        <v>448.6</v>
      </c>
      <c r="H287" s="72"/>
      <c r="I287" s="72"/>
      <c r="J287" s="72"/>
      <c r="K287" s="72"/>
      <c r="L287" s="72"/>
      <c r="M287" s="72"/>
      <c r="N287" s="72"/>
      <c r="O287" s="72"/>
      <c r="P287" s="72"/>
      <c r="Q287" s="63">
        <f t="shared" si="20"/>
        <v>790.8</v>
      </c>
      <c r="R287" s="72">
        <f t="shared" si="21"/>
        <v>0</v>
      </c>
      <c r="S287" s="63">
        <f t="shared" si="22"/>
        <v>790.8</v>
      </c>
    </row>
    <row r="288" spans="1:19" x14ac:dyDescent="0.25">
      <c r="A288" s="116" t="s">
        <v>1593</v>
      </c>
      <c r="B288" s="116" t="s">
        <v>1594</v>
      </c>
      <c r="C288" s="117">
        <v>195</v>
      </c>
      <c r="D288" s="91" t="s">
        <v>1595</v>
      </c>
      <c r="E288" s="91" t="s">
        <v>19</v>
      </c>
      <c r="F288" s="121">
        <v>41431</v>
      </c>
      <c r="G288" s="118">
        <f>1412.86+2992.8+1557</f>
        <v>5962.66</v>
      </c>
      <c r="H288" s="72"/>
      <c r="I288" s="72"/>
      <c r="J288" s="72"/>
      <c r="K288" s="72"/>
      <c r="L288" s="72"/>
      <c r="M288" s="72"/>
      <c r="N288" s="72"/>
      <c r="O288" s="72"/>
      <c r="P288" s="72"/>
      <c r="Q288" s="63">
        <f t="shared" si="20"/>
        <v>448.6</v>
      </c>
      <c r="R288" s="72">
        <f t="shared" si="21"/>
        <v>0</v>
      </c>
      <c r="S288" s="63">
        <f t="shared" si="22"/>
        <v>448.6</v>
      </c>
    </row>
    <row r="289" spans="1:19" x14ac:dyDescent="0.25">
      <c r="A289" s="116" t="s">
        <v>1596</v>
      </c>
      <c r="B289" s="116" t="s">
        <v>1597</v>
      </c>
      <c r="C289" s="117">
        <v>196</v>
      </c>
      <c r="D289" s="91" t="s">
        <v>1598</v>
      </c>
      <c r="E289" s="91" t="s">
        <v>19</v>
      </c>
      <c r="F289" s="92">
        <v>41409</v>
      </c>
      <c r="G289" s="118">
        <v>283.5</v>
      </c>
      <c r="H289" s="72"/>
      <c r="I289" s="72"/>
      <c r="J289" s="72"/>
      <c r="K289" s="72"/>
      <c r="L289" s="72"/>
      <c r="M289" s="72"/>
      <c r="N289" s="72"/>
      <c r="O289" s="72"/>
      <c r="P289" s="72"/>
      <c r="Q289" s="63">
        <f t="shared" si="20"/>
        <v>5962.66</v>
      </c>
      <c r="R289" s="72">
        <f t="shared" si="21"/>
        <v>0</v>
      </c>
      <c r="S289" s="63">
        <f t="shared" si="22"/>
        <v>5962.66</v>
      </c>
    </row>
    <row r="290" spans="1:19" x14ac:dyDescent="0.25">
      <c r="A290" s="116" t="s">
        <v>1599</v>
      </c>
      <c r="B290" s="116" t="s">
        <v>1600</v>
      </c>
      <c r="C290" s="117">
        <v>197</v>
      </c>
      <c r="D290" s="91" t="s">
        <v>1601</v>
      </c>
      <c r="E290" s="91" t="s">
        <v>19</v>
      </c>
      <c r="F290" s="92">
        <v>41409</v>
      </c>
      <c r="G290" s="118">
        <v>1059.3900000000001</v>
      </c>
      <c r="H290" s="72"/>
      <c r="I290" s="72"/>
      <c r="J290" s="72"/>
      <c r="K290" s="72"/>
      <c r="L290" s="72"/>
      <c r="M290" s="72"/>
      <c r="N290" s="72"/>
      <c r="O290" s="72"/>
      <c r="P290" s="72"/>
      <c r="Q290" s="63">
        <f t="shared" si="20"/>
        <v>283.5</v>
      </c>
      <c r="R290" s="72">
        <f t="shared" si="21"/>
        <v>0</v>
      </c>
      <c r="S290" s="63">
        <f t="shared" si="22"/>
        <v>283.5</v>
      </c>
    </row>
    <row r="291" spans="1:19" x14ac:dyDescent="0.25">
      <c r="A291" s="116" t="s">
        <v>1602</v>
      </c>
      <c r="B291" s="116" t="s">
        <v>1603</v>
      </c>
      <c r="C291" s="117">
        <v>198</v>
      </c>
      <c r="D291" s="91" t="s">
        <v>1604</v>
      </c>
      <c r="E291" s="91" t="s">
        <v>19</v>
      </c>
      <c r="F291" s="92">
        <v>41409</v>
      </c>
      <c r="G291" s="118">
        <v>750.68</v>
      </c>
      <c r="H291" s="72"/>
      <c r="I291" s="72"/>
      <c r="J291" s="72"/>
      <c r="K291" s="72"/>
      <c r="L291" s="72"/>
      <c r="M291" s="72"/>
      <c r="N291" s="72"/>
      <c r="O291" s="72"/>
      <c r="P291" s="72"/>
      <c r="Q291" s="63">
        <f t="shared" si="20"/>
        <v>1059.3900000000001</v>
      </c>
      <c r="R291" s="72">
        <f t="shared" si="21"/>
        <v>0</v>
      </c>
      <c r="S291" s="63">
        <f t="shared" si="22"/>
        <v>1059.3900000000001</v>
      </c>
    </row>
    <row r="292" spans="1:19" x14ac:dyDescent="0.25">
      <c r="A292" s="116" t="s">
        <v>1605</v>
      </c>
      <c r="B292" s="116" t="s">
        <v>1606</v>
      </c>
      <c r="C292" s="117">
        <v>199</v>
      </c>
      <c r="D292" s="91" t="s">
        <v>1607</v>
      </c>
      <c r="E292" s="91" t="s">
        <v>19</v>
      </c>
      <c r="F292" s="92">
        <v>41409</v>
      </c>
      <c r="G292" s="118">
        <v>41.05</v>
      </c>
      <c r="H292" s="72"/>
      <c r="I292" s="72"/>
      <c r="J292" s="72"/>
      <c r="K292" s="72"/>
      <c r="L292" s="72"/>
      <c r="M292" s="72"/>
      <c r="N292" s="72"/>
      <c r="O292" s="72"/>
      <c r="P292" s="72"/>
      <c r="Q292" s="63">
        <f t="shared" si="20"/>
        <v>750.68</v>
      </c>
      <c r="R292" s="72">
        <f t="shared" si="21"/>
        <v>0</v>
      </c>
      <c r="S292" s="63">
        <f t="shared" si="22"/>
        <v>750.68</v>
      </c>
    </row>
    <row r="293" spans="1:19" x14ac:dyDescent="0.25">
      <c r="A293" s="116" t="s">
        <v>1608</v>
      </c>
      <c r="B293" s="116" t="s">
        <v>1609</v>
      </c>
      <c r="C293" s="117">
        <v>200</v>
      </c>
      <c r="D293" s="91" t="s">
        <v>1610</v>
      </c>
      <c r="E293" s="91" t="s">
        <v>19</v>
      </c>
      <c r="F293" s="92">
        <v>41409</v>
      </c>
      <c r="G293" s="118">
        <v>397.84</v>
      </c>
      <c r="H293" s="72"/>
      <c r="I293" s="72"/>
      <c r="J293" s="72"/>
      <c r="K293" s="72"/>
      <c r="L293" s="72"/>
      <c r="M293" s="72"/>
      <c r="N293" s="72"/>
      <c r="O293" s="72"/>
      <c r="P293" s="72"/>
      <c r="Q293" s="63">
        <f t="shared" si="20"/>
        <v>41.05</v>
      </c>
      <c r="R293" s="72">
        <f t="shared" si="21"/>
        <v>0</v>
      </c>
      <c r="S293" s="63">
        <f t="shared" si="22"/>
        <v>41.05</v>
      </c>
    </row>
    <row r="294" spans="1:19" x14ac:dyDescent="0.25">
      <c r="A294" s="116" t="s">
        <v>1611</v>
      </c>
      <c r="B294" s="116" t="s">
        <v>1612</v>
      </c>
      <c r="C294" s="117">
        <v>201</v>
      </c>
      <c r="D294" s="91" t="s">
        <v>1613</v>
      </c>
      <c r="E294" s="91" t="s">
        <v>19</v>
      </c>
      <c r="F294" s="92">
        <v>41409</v>
      </c>
      <c r="G294" s="118">
        <v>180.51</v>
      </c>
      <c r="H294" s="72"/>
      <c r="I294" s="72"/>
      <c r="J294" s="72"/>
      <c r="K294" s="72"/>
      <c r="L294" s="72"/>
      <c r="M294" s="72"/>
      <c r="N294" s="72"/>
      <c r="O294" s="72"/>
      <c r="P294" s="72"/>
      <c r="Q294" s="63">
        <f t="shared" si="20"/>
        <v>397.84</v>
      </c>
      <c r="R294" s="72">
        <f t="shared" si="21"/>
        <v>0</v>
      </c>
      <c r="S294" s="63">
        <f t="shared" si="22"/>
        <v>397.84</v>
      </c>
    </row>
    <row r="295" spans="1:19" x14ac:dyDescent="0.25">
      <c r="A295" s="116" t="s">
        <v>1599</v>
      </c>
      <c r="B295" s="116" t="s">
        <v>1600</v>
      </c>
      <c r="C295" s="117">
        <v>202</v>
      </c>
      <c r="D295" s="91" t="s">
        <v>1614</v>
      </c>
      <c r="E295" s="91" t="s">
        <v>19</v>
      </c>
      <c r="F295" s="92">
        <v>41409</v>
      </c>
      <c r="G295" s="118">
        <v>71.290000000000006</v>
      </c>
      <c r="H295" s="72"/>
      <c r="I295" s="72"/>
      <c r="J295" s="72"/>
      <c r="K295" s="72"/>
      <c r="L295" s="72"/>
      <c r="M295" s="72"/>
      <c r="N295" s="72"/>
      <c r="O295" s="72"/>
      <c r="P295" s="72"/>
      <c r="Q295" s="63">
        <f t="shared" si="20"/>
        <v>180.51</v>
      </c>
      <c r="R295" s="72">
        <f t="shared" si="21"/>
        <v>0</v>
      </c>
      <c r="S295" s="63">
        <f t="shared" si="22"/>
        <v>180.51</v>
      </c>
    </row>
    <row r="296" spans="1:19" x14ac:dyDescent="0.25">
      <c r="A296" s="116" t="s">
        <v>1615</v>
      </c>
      <c r="B296" s="116" t="s">
        <v>1616</v>
      </c>
      <c r="C296" s="117">
        <v>203</v>
      </c>
      <c r="D296" s="91" t="s">
        <v>1617</v>
      </c>
      <c r="E296" s="91" t="s">
        <v>19</v>
      </c>
      <c r="F296" s="92">
        <v>41409</v>
      </c>
      <c r="G296" s="118">
        <v>35</v>
      </c>
      <c r="H296" s="72"/>
      <c r="I296" s="72"/>
      <c r="J296" s="72"/>
      <c r="K296" s="72"/>
      <c r="L296" s="72"/>
      <c r="M296" s="72"/>
      <c r="N296" s="72"/>
      <c r="O296" s="72"/>
      <c r="P296" s="72"/>
      <c r="Q296" s="63">
        <f t="shared" si="20"/>
        <v>71.290000000000006</v>
      </c>
      <c r="R296" s="72">
        <f t="shared" si="21"/>
        <v>0</v>
      </c>
      <c r="S296" s="63">
        <f t="shared" si="22"/>
        <v>71.290000000000006</v>
      </c>
    </row>
    <row r="297" spans="1:19" x14ac:dyDescent="0.25">
      <c r="A297" s="116" t="s">
        <v>1618</v>
      </c>
      <c r="B297" s="116" t="s">
        <v>1619</v>
      </c>
      <c r="C297" s="117">
        <v>204</v>
      </c>
      <c r="D297" s="91" t="s">
        <v>1620</v>
      </c>
      <c r="E297" s="91" t="s">
        <v>19</v>
      </c>
      <c r="F297" s="92">
        <v>41409</v>
      </c>
      <c r="G297" s="118">
        <f>228</f>
        <v>228</v>
      </c>
      <c r="H297" s="72"/>
      <c r="I297" s="73"/>
      <c r="J297" s="72"/>
      <c r="K297" s="72"/>
      <c r="L297" s="72"/>
      <c r="M297" s="72"/>
      <c r="N297" s="72"/>
      <c r="O297" s="72"/>
      <c r="P297" s="72"/>
      <c r="Q297" s="63">
        <f t="shared" si="20"/>
        <v>35</v>
      </c>
      <c r="R297" s="72">
        <f t="shared" si="21"/>
        <v>0</v>
      </c>
      <c r="S297" s="63">
        <f t="shared" si="22"/>
        <v>35</v>
      </c>
    </row>
    <row r="298" spans="1:19" x14ac:dyDescent="0.25">
      <c r="A298" s="116" t="s">
        <v>1621</v>
      </c>
      <c r="B298" s="116" t="s">
        <v>1622</v>
      </c>
      <c r="C298" s="117">
        <v>205</v>
      </c>
      <c r="D298" s="91" t="s">
        <v>1623</v>
      </c>
      <c r="E298" s="91" t="s">
        <v>19</v>
      </c>
      <c r="F298" s="121">
        <v>41419</v>
      </c>
      <c r="G298" s="118">
        <f>2969.21+301.7+41.3+41.3+700+8596.9+774.2+334.85+680+2366.23+908.66+877.6</f>
        <v>18591.95</v>
      </c>
      <c r="H298" s="72"/>
      <c r="I298" s="120">
        <f>250+50+1500+1500+400</f>
        <v>3700</v>
      </c>
      <c r="J298" s="72"/>
      <c r="K298" s="72"/>
      <c r="L298" s="72"/>
      <c r="M298" s="72"/>
      <c r="N298" s="72"/>
      <c r="O298" s="72"/>
      <c r="P298" s="72"/>
      <c r="Q298" s="63">
        <f t="shared" si="20"/>
        <v>3928</v>
      </c>
      <c r="R298" s="72">
        <f t="shared" si="21"/>
        <v>0</v>
      </c>
      <c r="S298" s="63">
        <f t="shared" si="22"/>
        <v>3928</v>
      </c>
    </row>
    <row r="299" spans="1:19" x14ac:dyDescent="0.25">
      <c r="A299" s="116" t="s">
        <v>1624</v>
      </c>
      <c r="B299" s="116" t="s">
        <v>1625</v>
      </c>
      <c r="C299" s="117">
        <v>206</v>
      </c>
      <c r="D299" s="91" t="s">
        <v>1626</v>
      </c>
      <c r="E299" s="91" t="s">
        <v>19</v>
      </c>
      <c r="F299" s="121">
        <v>41435</v>
      </c>
      <c r="G299" s="118">
        <f>282.94+189.52+71.52+156.1</f>
        <v>700.08</v>
      </c>
      <c r="H299" s="72"/>
      <c r="I299" s="120">
        <v>400</v>
      </c>
      <c r="J299" s="72"/>
      <c r="K299" s="72"/>
      <c r="L299" s="72"/>
      <c r="M299" s="72"/>
      <c r="N299" s="72"/>
      <c r="O299" s="72"/>
      <c r="P299" s="72"/>
      <c r="Q299" s="63">
        <f t="shared" si="20"/>
        <v>18991.95</v>
      </c>
      <c r="R299" s="72">
        <f t="shared" si="21"/>
        <v>0</v>
      </c>
      <c r="S299" s="63">
        <f t="shared" si="22"/>
        <v>18991.95</v>
      </c>
    </row>
    <row r="300" spans="1:19" x14ac:dyDescent="0.25">
      <c r="A300" s="116" t="s">
        <v>1627</v>
      </c>
      <c r="B300" s="116" t="s">
        <v>1628</v>
      </c>
      <c r="C300" s="117">
        <v>207</v>
      </c>
      <c r="D300" s="91" t="s">
        <v>1629</v>
      </c>
      <c r="E300" s="91" t="s">
        <v>19</v>
      </c>
      <c r="F300" s="121">
        <v>41428</v>
      </c>
      <c r="G300" s="118">
        <f>43.05+92.76</f>
        <v>135.81</v>
      </c>
      <c r="H300" s="72"/>
      <c r="I300" s="73"/>
      <c r="J300" s="72"/>
      <c r="K300" s="72"/>
      <c r="L300" s="72"/>
      <c r="M300" s="72"/>
      <c r="N300" s="72"/>
      <c r="O300" s="72"/>
      <c r="P300" s="72"/>
      <c r="Q300" s="63">
        <f t="shared" si="20"/>
        <v>700.08</v>
      </c>
      <c r="R300" s="72">
        <f t="shared" si="21"/>
        <v>0</v>
      </c>
      <c r="S300" s="63">
        <f t="shared" si="22"/>
        <v>700.08</v>
      </c>
    </row>
    <row r="301" spans="1:19" x14ac:dyDescent="0.25">
      <c r="A301" s="116" t="s">
        <v>1627</v>
      </c>
      <c r="B301" s="116" t="s">
        <v>1628</v>
      </c>
      <c r="C301" s="117">
        <v>207</v>
      </c>
      <c r="D301" s="91" t="s">
        <v>1630</v>
      </c>
      <c r="E301" s="91" t="s">
        <v>19</v>
      </c>
      <c r="F301" s="121">
        <v>41428</v>
      </c>
      <c r="G301" s="118">
        <f>11.5+47.2+47.2</f>
        <v>105.9</v>
      </c>
      <c r="H301" s="72"/>
      <c r="I301" s="73"/>
      <c r="J301" s="72"/>
      <c r="K301" s="72"/>
      <c r="L301" s="72"/>
      <c r="M301" s="72"/>
      <c r="N301" s="72"/>
      <c r="O301" s="72"/>
      <c r="P301" s="72"/>
      <c r="Q301" s="63">
        <f t="shared" si="20"/>
        <v>135.81</v>
      </c>
      <c r="R301" s="72">
        <f t="shared" si="21"/>
        <v>0</v>
      </c>
      <c r="S301" s="63">
        <f t="shared" si="22"/>
        <v>135.81</v>
      </c>
    </row>
    <row r="302" spans="1:19" x14ac:dyDescent="0.25">
      <c r="A302" s="116" t="s">
        <v>1631</v>
      </c>
      <c r="B302" s="116" t="s">
        <v>1632</v>
      </c>
      <c r="C302" s="117">
        <v>208</v>
      </c>
      <c r="D302" s="91" t="s">
        <v>1633</v>
      </c>
      <c r="E302" s="91" t="s">
        <v>19</v>
      </c>
      <c r="F302" s="121">
        <v>41422</v>
      </c>
      <c r="G302" s="77">
        <f>240+240+3006.21+240+47.2+68.89+47.2+1021.61+7172.89+47.2+68.89+2316.16</f>
        <v>14516.25</v>
      </c>
      <c r="H302" s="72"/>
      <c r="I302" s="73"/>
      <c r="J302" s="72"/>
      <c r="K302" s="72"/>
      <c r="L302" s="72"/>
      <c r="M302" s="72"/>
      <c r="N302" s="72"/>
      <c r="O302" s="72"/>
      <c r="P302" s="72"/>
      <c r="Q302" s="63">
        <f t="shared" si="20"/>
        <v>105.9</v>
      </c>
      <c r="R302" s="72">
        <f t="shared" si="21"/>
        <v>0</v>
      </c>
      <c r="S302" s="63">
        <f t="shared" si="22"/>
        <v>105.9</v>
      </c>
    </row>
    <row r="303" spans="1:19" x14ac:dyDescent="0.25">
      <c r="A303" s="116" t="s">
        <v>1631</v>
      </c>
      <c r="B303" s="116" t="s">
        <v>1632</v>
      </c>
      <c r="C303" s="117">
        <v>208</v>
      </c>
      <c r="D303" s="91" t="s">
        <v>1634</v>
      </c>
      <c r="E303" s="91" t="s">
        <v>19</v>
      </c>
      <c r="F303" s="121">
        <v>41422</v>
      </c>
      <c r="G303" s="118">
        <f>240+240+3006.21+240+47.2+68.89+47.2+1021.61+7172.89+47.2+68.89+2316.16</f>
        <v>14516.25</v>
      </c>
      <c r="H303" s="72"/>
      <c r="I303" s="73"/>
      <c r="J303" s="72"/>
      <c r="K303" s="72"/>
      <c r="L303" s="72"/>
      <c r="M303" s="72"/>
      <c r="N303" s="72"/>
      <c r="O303" s="72"/>
      <c r="P303" s="72"/>
      <c r="Q303" s="63">
        <f t="shared" si="20"/>
        <v>14516.25</v>
      </c>
      <c r="R303" s="72">
        <f t="shared" si="21"/>
        <v>0</v>
      </c>
      <c r="S303" s="63">
        <f t="shared" si="22"/>
        <v>14516.25</v>
      </c>
    </row>
    <row r="304" spans="1:19" x14ac:dyDescent="0.25">
      <c r="A304" s="116" t="s">
        <v>1635</v>
      </c>
      <c r="B304" s="116" t="s">
        <v>1636</v>
      </c>
      <c r="C304" s="117">
        <v>209</v>
      </c>
      <c r="D304" s="91" t="s">
        <v>1637</v>
      </c>
      <c r="E304" s="91" t="s">
        <v>19</v>
      </c>
      <c r="F304" s="121">
        <v>41429</v>
      </c>
      <c r="G304" s="118">
        <f>1906.32+119.77+307.6+301.7</f>
        <v>2635.39</v>
      </c>
      <c r="H304" s="72"/>
      <c r="I304" s="120">
        <f>750+175+725+750+750+550</f>
        <v>3700</v>
      </c>
      <c r="J304" s="72"/>
      <c r="K304" s="72"/>
      <c r="L304" s="72"/>
      <c r="M304" s="72"/>
      <c r="N304" s="72"/>
      <c r="O304" s="72"/>
      <c r="P304" s="72"/>
      <c r="Q304" s="63">
        <f t="shared" si="20"/>
        <v>18216.25</v>
      </c>
      <c r="R304" s="72">
        <f t="shared" si="21"/>
        <v>0</v>
      </c>
      <c r="S304" s="63">
        <f t="shared" si="22"/>
        <v>18216.25</v>
      </c>
    </row>
    <row r="305" spans="1:19" x14ac:dyDescent="0.25">
      <c r="A305" s="116" t="s">
        <v>1638</v>
      </c>
      <c r="B305" s="116" t="s">
        <v>1639</v>
      </c>
      <c r="C305" s="117">
        <v>210</v>
      </c>
      <c r="D305" s="91" t="s">
        <v>1640</v>
      </c>
      <c r="E305" s="91" t="s">
        <v>19</v>
      </c>
      <c r="F305" s="121">
        <v>41428</v>
      </c>
      <c r="G305" s="118">
        <f>4184.21+280.16+47.2+51.32+111.9+17.25+135.7</f>
        <v>4827.7399999999989</v>
      </c>
      <c r="H305" s="72"/>
      <c r="I305" s="120">
        <v>1500</v>
      </c>
      <c r="J305" s="72"/>
      <c r="K305" s="72"/>
      <c r="L305" s="72"/>
      <c r="M305" s="72"/>
      <c r="N305" s="72"/>
      <c r="O305" s="72"/>
      <c r="P305" s="72"/>
      <c r="Q305" s="63">
        <f t="shared" si="20"/>
        <v>4135.3899999999994</v>
      </c>
      <c r="R305" s="72">
        <f t="shared" si="21"/>
        <v>0</v>
      </c>
      <c r="S305" s="63">
        <f t="shared" si="22"/>
        <v>4135.3899999999994</v>
      </c>
    </row>
    <row r="306" spans="1:19" x14ac:dyDescent="0.25">
      <c r="A306" s="116" t="s">
        <v>1641</v>
      </c>
      <c r="B306" s="116" t="s">
        <v>1642</v>
      </c>
      <c r="C306" s="117">
        <v>211</v>
      </c>
      <c r="D306" s="91" t="s">
        <v>1643</v>
      </c>
      <c r="E306" s="91" t="s">
        <v>19</v>
      </c>
      <c r="F306" s="121">
        <v>41445</v>
      </c>
      <c r="G306" s="118">
        <f>49.9</f>
        <v>49.9</v>
      </c>
      <c r="H306" s="72"/>
      <c r="I306" s="73"/>
      <c r="J306" s="72"/>
      <c r="K306" s="72"/>
      <c r="L306" s="72"/>
      <c r="M306" s="72"/>
      <c r="N306" s="72"/>
      <c r="O306" s="72"/>
      <c r="P306" s="72"/>
      <c r="Q306" s="63">
        <f t="shared" si="20"/>
        <v>4827.7399999999989</v>
      </c>
      <c r="R306" s="72">
        <f t="shared" si="21"/>
        <v>0</v>
      </c>
      <c r="S306" s="63">
        <f t="shared" si="22"/>
        <v>4827.7399999999989</v>
      </c>
    </row>
    <row r="307" spans="1:19" x14ac:dyDescent="0.25">
      <c r="A307" s="116" t="s">
        <v>1641</v>
      </c>
      <c r="B307" s="116" t="s">
        <v>1642</v>
      </c>
      <c r="C307" s="117">
        <v>211</v>
      </c>
      <c r="D307" s="91" t="s">
        <v>1644</v>
      </c>
      <c r="E307" s="91" t="s">
        <v>19</v>
      </c>
      <c r="F307" s="121">
        <v>41445</v>
      </c>
      <c r="G307" s="118">
        <f>238+71.35+202.25+86.83+295+82.29+358</f>
        <v>1333.72</v>
      </c>
      <c r="H307" s="72"/>
      <c r="I307" s="120">
        <f>875</f>
        <v>875</v>
      </c>
      <c r="J307" s="72"/>
      <c r="K307" s="72"/>
      <c r="L307" s="72"/>
      <c r="M307" s="72"/>
      <c r="N307" s="72"/>
      <c r="O307" s="72"/>
      <c r="P307" s="72"/>
      <c r="Q307" s="63">
        <f t="shared" si="20"/>
        <v>924.9</v>
      </c>
      <c r="R307" s="72">
        <f t="shared" si="21"/>
        <v>0</v>
      </c>
      <c r="S307" s="63">
        <f t="shared" si="22"/>
        <v>924.9</v>
      </c>
    </row>
    <row r="308" spans="1:19" x14ac:dyDescent="0.25">
      <c r="A308" s="116" t="s">
        <v>1645</v>
      </c>
      <c r="B308" s="116" t="s">
        <v>1646</v>
      </c>
      <c r="C308" s="117">
        <v>212</v>
      </c>
      <c r="D308" s="91" t="s">
        <v>1647</v>
      </c>
      <c r="E308" s="91" t="s">
        <v>19</v>
      </c>
      <c r="F308" s="121">
        <v>41435</v>
      </c>
      <c r="G308" s="118">
        <f>23+160.69+81.56+41.3+162.6</f>
        <v>469.15</v>
      </c>
      <c r="H308" s="72"/>
      <c r="I308" s="120">
        <v>375</v>
      </c>
      <c r="J308" s="72"/>
      <c r="K308" s="72"/>
      <c r="L308" s="72"/>
      <c r="M308" s="72"/>
      <c r="N308" s="72"/>
      <c r="O308" s="72"/>
      <c r="P308" s="72"/>
      <c r="Q308" s="63">
        <f t="shared" si="20"/>
        <v>1708.72</v>
      </c>
      <c r="R308" s="72">
        <f t="shared" si="21"/>
        <v>0</v>
      </c>
      <c r="S308" s="63">
        <f t="shared" si="22"/>
        <v>1708.72</v>
      </c>
    </row>
    <row r="309" spans="1:19" x14ac:dyDescent="0.25">
      <c r="A309" s="116" t="s">
        <v>1645</v>
      </c>
      <c r="B309" s="116" t="s">
        <v>1646</v>
      </c>
      <c r="C309" s="117">
        <v>212</v>
      </c>
      <c r="D309" s="91" t="s">
        <v>1648</v>
      </c>
      <c r="E309" s="91" t="s">
        <v>19</v>
      </c>
      <c r="F309" s="121">
        <v>41435</v>
      </c>
      <c r="G309" s="118">
        <f>93.09+41.3+127.15</f>
        <v>261.53999999999996</v>
      </c>
      <c r="H309" s="72"/>
      <c r="I309" s="120">
        <v>150</v>
      </c>
      <c r="J309" s="72"/>
      <c r="K309" s="72"/>
      <c r="L309" s="72"/>
      <c r="M309" s="72"/>
      <c r="N309" s="72"/>
      <c r="O309" s="72"/>
      <c r="P309" s="72"/>
      <c r="Q309" s="63">
        <f t="shared" si="20"/>
        <v>619.15</v>
      </c>
      <c r="R309" s="72">
        <f t="shared" si="21"/>
        <v>0</v>
      </c>
      <c r="S309" s="63">
        <f t="shared" si="22"/>
        <v>619.15</v>
      </c>
    </row>
    <row r="310" spans="1:19" x14ac:dyDescent="0.25">
      <c r="A310" s="116" t="s">
        <v>1649</v>
      </c>
      <c r="B310" s="116" t="s">
        <v>1650</v>
      </c>
      <c r="C310" s="117">
        <v>213</v>
      </c>
      <c r="D310" s="91" t="s">
        <v>1651</v>
      </c>
      <c r="E310" s="91" t="s">
        <v>19</v>
      </c>
      <c r="F310" s="121">
        <v>41426</v>
      </c>
      <c r="G310" s="118">
        <f>223.63+438.02</f>
        <v>661.65</v>
      </c>
      <c r="H310" s="72"/>
      <c r="I310" s="120">
        <v>375</v>
      </c>
      <c r="J310" s="72"/>
      <c r="K310" s="72"/>
      <c r="L310" s="72"/>
      <c r="M310" s="72"/>
      <c r="N310" s="72"/>
      <c r="O310" s="72"/>
      <c r="P310" s="72"/>
      <c r="Q310" s="63">
        <f t="shared" si="20"/>
        <v>636.54</v>
      </c>
      <c r="R310" s="72">
        <f t="shared" si="21"/>
        <v>0</v>
      </c>
      <c r="S310" s="63">
        <f t="shared" si="22"/>
        <v>636.54</v>
      </c>
    </row>
    <row r="311" spans="1:19" x14ac:dyDescent="0.25">
      <c r="A311" s="116" t="s">
        <v>1652</v>
      </c>
      <c r="B311" s="116" t="s">
        <v>1653</v>
      </c>
      <c r="C311" s="117">
        <v>214</v>
      </c>
      <c r="D311" s="91" t="s">
        <v>1654</v>
      </c>
      <c r="E311" s="91" t="s">
        <v>19</v>
      </c>
      <c r="F311" s="121">
        <v>41421</v>
      </c>
      <c r="G311" s="118">
        <f>67.2+17.25+69.52+47.2+47.2+365.37</f>
        <v>613.74</v>
      </c>
      <c r="H311" s="72"/>
      <c r="I311" s="73"/>
      <c r="J311" s="72"/>
      <c r="K311" s="72"/>
      <c r="L311" s="72"/>
      <c r="M311" s="72"/>
      <c r="N311" s="72"/>
      <c r="O311" s="72"/>
      <c r="P311" s="72"/>
      <c r="Q311" s="63">
        <f t="shared" si="20"/>
        <v>661.65</v>
      </c>
      <c r="R311" s="72">
        <f t="shared" si="21"/>
        <v>0</v>
      </c>
      <c r="S311" s="63">
        <f t="shared" si="22"/>
        <v>661.65</v>
      </c>
    </row>
    <row r="312" spans="1:19" x14ac:dyDescent="0.25">
      <c r="A312" s="116" t="s">
        <v>1652</v>
      </c>
      <c r="B312" s="116" t="s">
        <v>1653</v>
      </c>
      <c r="C312" s="117">
        <v>214</v>
      </c>
      <c r="D312" s="91" t="s">
        <v>1655</v>
      </c>
      <c r="E312" s="91" t="s">
        <v>19</v>
      </c>
      <c r="F312" s="121">
        <v>41421</v>
      </c>
      <c r="G312" s="118">
        <f>245.42</f>
        <v>245.42</v>
      </c>
      <c r="H312" s="72"/>
      <c r="I312" s="72"/>
      <c r="J312" s="72"/>
      <c r="K312" s="72"/>
      <c r="L312" s="72"/>
      <c r="M312" s="72"/>
      <c r="N312" s="72"/>
      <c r="O312" s="72"/>
      <c r="P312" s="72"/>
      <c r="Q312" s="63">
        <f t="shared" si="20"/>
        <v>613.74</v>
      </c>
      <c r="R312" s="72">
        <f t="shared" si="21"/>
        <v>0</v>
      </c>
      <c r="S312" s="63">
        <f t="shared" si="22"/>
        <v>613.74</v>
      </c>
    </row>
    <row r="313" spans="1:19" x14ac:dyDescent="0.25">
      <c r="A313" s="116" t="s">
        <v>1656</v>
      </c>
      <c r="B313" s="116" t="s">
        <v>1657</v>
      </c>
      <c r="C313" s="117">
        <v>215</v>
      </c>
      <c r="D313" s="91" t="s">
        <v>1658</v>
      </c>
      <c r="E313" s="91" t="s">
        <v>19</v>
      </c>
      <c r="F313" s="121">
        <v>41428</v>
      </c>
      <c r="G313" s="118">
        <f>44.5+21+47.2+27+88.42+47.2+534.54</f>
        <v>809.8599999999999</v>
      </c>
      <c r="H313" s="72"/>
      <c r="I313" s="72"/>
      <c r="J313" s="72"/>
      <c r="K313" s="72"/>
      <c r="L313" s="72"/>
      <c r="M313" s="72"/>
      <c r="N313" s="72"/>
      <c r="O313" s="72"/>
      <c r="P313" s="72"/>
      <c r="Q313" s="63">
        <f t="shared" si="20"/>
        <v>245.42</v>
      </c>
      <c r="R313" s="72">
        <f t="shared" si="21"/>
        <v>0</v>
      </c>
      <c r="S313" s="63">
        <f t="shared" si="22"/>
        <v>245.42</v>
      </c>
    </row>
    <row r="314" spans="1:19" x14ac:dyDescent="0.25">
      <c r="A314" s="116" t="s">
        <v>1659</v>
      </c>
      <c r="B314" s="116" t="s">
        <v>1660</v>
      </c>
      <c r="C314" s="117">
        <v>216</v>
      </c>
      <c r="D314" s="91" t="s">
        <v>1661</v>
      </c>
      <c r="E314" s="91" t="s">
        <v>19</v>
      </c>
      <c r="F314" s="121">
        <v>41436</v>
      </c>
      <c r="G314" s="118">
        <f>110.36+286.55</f>
        <v>396.91</v>
      </c>
      <c r="H314" s="72"/>
      <c r="I314" s="72"/>
      <c r="J314" s="72"/>
      <c r="K314" s="72"/>
      <c r="L314" s="72"/>
      <c r="M314" s="72"/>
      <c r="N314" s="72"/>
      <c r="O314" s="72"/>
      <c r="P314" s="72"/>
      <c r="Q314" s="63">
        <f t="shared" si="20"/>
        <v>809.8599999999999</v>
      </c>
      <c r="R314" s="72">
        <f t="shared" si="21"/>
        <v>0</v>
      </c>
      <c r="S314" s="63">
        <f t="shared" si="22"/>
        <v>809.8599999999999</v>
      </c>
    </row>
    <row r="315" spans="1:19" x14ac:dyDescent="0.25">
      <c r="A315" s="116" t="s">
        <v>1662</v>
      </c>
      <c r="B315" s="116" t="s">
        <v>1663</v>
      </c>
      <c r="C315" s="117">
        <v>217</v>
      </c>
      <c r="D315" s="91" t="s">
        <v>1664</v>
      </c>
      <c r="E315" s="91" t="s">
        <v>19</v>
      </c>
      <c r="F315" s="121">
        <v>41526</v>
      </c>
      <c r="G315" s="118">
        <f>55.5</f>
        <v>55.5</v>
      </c>
      <c r="H315" s="72"/>
      <c r="I315" s="72"/>
      <c r="J315" s="72"/>
      <c r="K315" s="72"/>
      <c r="L315" s="72"/>
      <c r="M315" s="72"/>
      <c r="N315" s="72"/>
      <c r="O315" s="72"/>
      <c r="P315" s="72"/>
      <c r="Q315" s="63">
        <f t="shared" ref="Q315:Q320" si="23">+G314+I315+K315+M315+O315</f>
        <v>396.91</v>
      </c>
      <c r="R315" s="72">
        <f t="shared" ref="R315:R320" si="24">+H315+J315+L315+N315+P315</f>
        <v>0</v>
      </c>
      <c r="S315" s="63">
        <f t="shared" ref="S315:S320" si="25">+Q315+R315</f>
        <v>396.91</v>
      </c>
    </row>
    <row r="316" spans="1:19" x14ac:dyDescent="0.25">
      <c r="A316" s="116" t="s">
        <v>1665</v>
      </c>
      <c r="B316" s="116" t="s">
        <v>1666</v>
      </c>
      <c r="C316" s="117">
        <v>218</v>
      </c>
      <c r="D316" s="91" t="s">
        <v>1667</v>
      </c>
      <c r="E316" s="91" t="s">
        <v>19</v>
      </c>
      <c r="F316" s="121">
        <v>41417</v>
      </c>
      <c r="G316" s="118">
        <v>96.52</v>
      </c>
      <c r="H316" s="72"/>
      <c r="I316" s="72"/>
      <c r="J316" s="72"/>
      <c r="K316" s="72"/>
      <c r="L316" s="72"/>
      <c r="M316" s="72"/>
      <c r="N316" s="72"/>
      <c r="O316" s="72"/>
      <c r="P316" s="72"/>
      <c r="Q316" s="63">
        <f t="shared" si="23"/>
        <v>55.5</v>
      </c>
      <c r="R316" s="72">
        <f t="shared" si="24"/>
        <v>0</v>
      </c>
      <c r="S316" s="63">
        <f t="shared" si="25"/>
        <v>55.5</v>
      </c>
    </row>
    <row r="317" spans="1:19" x14ac:dyDescent="0.25">
      <c r="A317" s="116" t="s">
        <v>1668</v>
      </c>
      <c r="B317" s="116" t="s">
        <v>1669</v>
      </c>
      <c r="C317" s="117">
        <v>219</v>
      </c>
      <c r="D317" s="91" t="s">
        <v>1670</v>
      </c>
      <c r="E317" s="91" t="s">
        <v>19</v>
      </c>
      <c r="F317" s="121">
        <v>41526</v>
      </c>
      <c r="G317" s="118">
        <f>2919.3</f>
        <v>2919.3</v>
      </c>
      <c r="H317" s="72"/>
      <c r="I317" s="72"/>
      <c r="J317" s="72"/>
      <c r="K317" s="72"/>
      <c r="L317" s="72"/>
      <c r="M317" s="72"/>
      <c r="N317" s="72"/>
      <c r="O317" s="72"/>
      <c r="P317" s="72"/>
      <c r="Q317" s="63">
        <f t="shared" si="23"/>
        <v>96.52</v>
      </c>
      <c r="R317" s="72">
        <f t="shared" si="24"/>
        <v>0</v>
      </c>
      <c r="S317" s="63">
        <f t="shared" si="25"/>
        <v>96.52</v>
      </c>
    </row>
    <row r="318" spans="1:19" x14ac:dyDescent="0.25">
      <c r="A318" s="116" t="s">
        <v>1668</v>
      </c>
      <c r="B318" s="116" t="s">
        <v>1669</v>
      </c>
      <c r="C318" s="117">
        <v>219</v>
      </c>
      <c r="D318" s="91" t="s">
        <v>1671</v>
      </c>
      <c r="E318" s="91" t="s">
        <v>19</v>
      </c>
      <c r="F318" s="121">
        <v>41526</v>
      </c>
      <c r="G318" s="118">
        <f>201.2</f>
        <v>201.2</v>
      </c>
      <c r="H318" s="72"/>
      <c r="I318" s="72"/>
      <c r="J318" s="72"/>
      <c r="K318" s="72"/>
      <c r="L318" s="72"/>
      <c r="M318" s="72"/>
      <c r="N318" s="72"/>
      <c r="O318" s="72"/>
      <c r="P318" s="72"/>
      <c r="Q318" s="63">
        <f t="shared" si="23"/>
        <v>2919.3</v>
      </c>
      <c r="R318" s="72">
        <f t="shared" si="24"/>
        <v>0</v>
      </c>
      <c r="S318" s="63">
        <f t="shared" si="25"/>
        <v>2919.3</v>
      </c>
    </row>
    <row r="319" spans="1:19" x14ac:dyDescent="0.25">
      <c r="A319" s="116" t="s">
        <v>1672</v>
      </c>
      <c r="B319" s="116" t="s">
        <v>1673</v>
      </c>
      <c r="C319" s="117">
        <v>220</v>
      </c>
      <c r="D319" s="91" t="s">
        <v>1674</v>
      </c>
      <c r="E319" s="91" t="s">
        <v>19</v>
      </c>
      <c r="F319" s="121">
        <v>41430</v>
      </c>
      <c r="G319" s="118">
        <f>37.2+59.55+348.1+64.9+436.6+348.1+64.9+64.9+248.21</f>
        <v>1672.4600000000003</v>
      </c>
      <c r="H319" s="72"/>
      <c r="I319" s="120">
        <v>1500</v>
      </c>
      <c r="J319" s="72"/>
      <c r="K319" s="72"/>
      <c r="L319" s="72"/>
      <c r="M319" s="72"/>
      <c r="N319" s="72"/>
      <c r="O319" s="72"/>
      <c r="P319" s="72"/>
      <c r="Q319" s="63">
        <f t="shared" si="23"/>
        <v>1701.2</v>
      </c>
      <c r="R319" s="72">
        <f t="shared" si="24"/>
        <v>0</v>
      </c>
      <c r="S319" s="63">
        <f t="shared" si="25"/>
        <v>1701.2</v>
      </c>
    </row>
    <row r="320" spans="1:19" x14ac:dyDescent="0.25">
      <c r="A320" s="116" t="s">
        <v>1675</v>
      </c>
      <c r="B320" s="116" t="s">
        <v>1676</v>
      </c>
      <c r="C320" s="117">
        <v>221</v>
      </c>
      <c r="D320" s="91" t="s">
        <v>1677</v>
      </c>
      <c r="E320" s="91" t="s">
        <v>19</v>
      </c>
      <c r="F320" s="121">
        <v>41445</v>
      </c>
      <c r="G320" s="77"/>
      <c r="H320" s="72"/>
      <c r="I320" s="73"/>
      <c r="J320" s="72"/>
      <c r="K320" s="72"/>
      <c r="L320" s="72"/>
      <c r="M320" s="83">
        <v>3700</v>
      </c>
      <c r="N320" s="72"/>
      <c r="O320" s="123">
        <v>14800</v>
      </c>
      <c r="P320" s="72"/>
      <c r="Q320" s="63">
        <f t="shared" si="23"/>
        <v>20172.46</v>
      </c>
      <c r="R320" s="72">
        <f t="shared" si="24"/>
        <v>0</v>
      </c>
      <c r="S320" s="63">
        <f t="shared" si="25"/>
        <v>20172.46</v>
      </c>
    </row>
    <row r="321" spans="1:19" x14ac:dyDescent="0.25">
      <c r="A321" s="116" t="s">
        <v>1675</v>
      </c>
      <c r="B321" s="116" t="s">
        <v>1676</v>
      </c>
      <c r="C321" s="117">
        <v>221</v>
      </c>
      <c r="D321" s="91" t="s">
        <v>1678</v>
      </c>
      <c r="E321" s="91" t="s">
        <v>19</v>
      </c>
      <c r="F321" s="121">
        <v>41445</v>
      </c>
      <c r="G321" s="118">
        <f>108.2</f>
        <v>108.2</v>
      </c>
      <c r="H321" s="72"/>
      <c r="I321" s="73"/>
      <c r="J321" s="72"/>
      <c r="K321" s="72"/>
      <c r="L321" s="72"/>
      <c r="M321" s="72"/>
      <c r="N321" s="72"/>
      <c r="O321" s="72"/>
      <c r="P321" s="72"/>
      <c r="Q321" s="63">
        <f t="shared" ref="Q321:Q384" si="26">+G320+I321+K321+M321+O321</f>
        <v>0</v>
      </c>
      <c r="R321" s="72">
        <f t="shared" ref="R321:R384" si="27">+H321+J321+L321+N321+P321</f>
        <v>0</v>
      </c>
      <c r="S321" s="63">
        <f t="shared" ref="S321:S384" si="28">+Q321+R321</f>
        <v>0</v>
      </c>
    </row>
    <row r="322" spans="1:19" x14ac:dyDescent="0.25">
      <c r="A322" s="116" t="s">
        <v>1675</v>
      </c>
      <c r="B322" s="116" t="s">
        <v>1676</v>
      </c>
      <c r="C322" s="117">
        <v>221</v>
      </c>
      <c r="D322" s="91" t="s">
        <v>1679</v>
      </c>
      <c r="E322" s="91" t="s">
        <v>19</v>
      </c>
      <c r="F322" s="121">
        <v>41445</v>
      </c>
      <c r="G322" s="118">
        <f>204</f>
        <v>204</v>
      </c>
      <c r="H322" s="72"/>
      <c r="I322" s="73"/>
      <c r="J322" s="72"/>
      <c r="K322" s="72"/>
      <c r="L322" s="72"/>
      <c r="M322" s="72"/>
      <c r="N322" s="72"/>
      <c r="O322" s="72"/>
      <c r="P322" s="72"/>
      <c r="Q322" s="63">
        <f t="shared" si="26"/>
        <v>108.2</v>
      </c>
      <c r="R322" s="72">
        <f t="shared" si="27"/>
        <v>0</v>
      </c>
      <c r="S322" s="63">
        <f t="shared" si="28"/>
        <v>108.2</v>
      </c>
    </row>
    <row r="323" spans="1:19" x14ac:dyDescent="0.25">
      <c r="A323" s="116" t="s">
        <v>1675</v>
      </c>
      <c r="B323" s="116" t="s">
        <v>1676</v>
      </c>
      <c r="C323" s="117">
        <v>221</v>
      </c>
      <c r="D323" s="91" t="s">
        <v>1680</v>
      </c>
      <c r="E323" s="91" t="s">
        <v>19</v>
      </c>
      <c r="F323" s="121">
        <v>41445</v>
      </c>
      <c r="G323" s="118">
        <f>320+4879.22+52.49+5402.82+288.53+94.4+98.71+47.2+2050.5</f>
        <v>13233.869999999999</v>
      </c>
      <c r="H323" s="72"/>
      <c r="I323" s="120">
        <v>1500</v>
      </c>
      <c r="J323" s="72"/>
      <c r="K323" s="72"/>
      <c r="L323" s="72"/>
      <c r="M323" s="72"/>
      <c r="N323" s="72"/>
      <c r="O323" s="72"/>
      <c r="P323" s="72"/>
      <c r="Q323" s="63">
        <f t="shared" si="26"/>
        <v>1704</v>
      </c>
      <c r="R323" s="72">
        <f t="shared" si="27"/>
        <v>0</v>
      </c>
      <c r="S323" s="63">
        <f t="shared" si="28"/>
        <v>1704</v>
      </c>
    </row>
    <row r="324" spans="1:19" x14ac:dyDescent="0.25">
      <c r="A324" s="116" t="s">
        <v>1675</v>
      </c>
      <c r="B324" s="116" t="s">
        <v>1676</v>
      </c>
      <c r="C324" s="117">
        <v>221</v>
      </c>
      <c r="D324" s="91" t="s">
        <v>1681</v>
      </c>
      <c r="E324" s="91" t="s">
        <v>19</v>
      </c>
      <c r="F324" s="121">
        <v>41445</v>
      </c>
      <c r="G324" s="118">
        <f>252.1</f>
        <v>252.1</v>
      </c>
      <c r="H324" s="72"/>
      <c r="I324" s="72"/>
      <c r="J324" s="72"/>
      <c r="K324" s="72"/>
      <c r="L324" s="72"/>
      <c r="M324" s="72"/>
      <c r="N324" s="72"/>
      <c r="O324" s="72"/>
      <c r="P324" s="72"/>
      <c r="Q324" s="63">
        <f t="shared" si="26"/>
        <v>13233.869999999999</v>
      </c>
      <c r="R324" s="72">
        <f t="shared" si="27"/>
        <v>0</v>
      </c>
      <c r="S324" s="63">
        <f t="shared" si="28"/>
        <v>13233.869999999999</v>
      </c>
    </row>
    <row r="325" spans="1:19" x14ac:dyDescent="0.25">
      <c r="A325" s="116" t="s">
        <v>1682</v>
      </c>
      <c r="B325" s="116" t="s">
        <v>1683</v>
      </c>
      <c r="C325" s="117">
        <v>222</v>
      </c>
      <c r="D325" s="91" t="s">
        <v>1684</v>
      </c>
      <c r="E325" s="91" t="s">
        <v>19</v>
      </c>
      <c r="F325" s="121">
        <v>41509</v>
      </c>
      <c r="G325" s="118">
        <f>178.6+35</f>
        <v>213.6</v>
      </c>
      <c r="H325" s="72"/>
      <c r="I325" s="72"/>
      <c r="J325" s="72"/>
      <c r="K325" s="72"/>
      <c r="L325" s="72"/>
      <c r="M325" s="72"/>
      <c r="N325" s="72"/>
      <c r="O325" s="72"/>
      <c r="P325" s="72"/>
      <c r="Q325" s="63">
        <f t="shared" si="26"/>
        <v>252.1</v>
      </c>
      <c r="R325" s="72">
        <f t="shared" si="27"/>
        <v>0</v>
      </c>
      <c r="S325" s="63">
        <f t="shared" si="28"/>
        <v>252.1</v>
      </c>
    </row>
    <row r="326" spans="1:19" x14ac:dyDescent="0.25">
      <c r="A326" s="116" t="s">
        <v>1685</v>
      </c>
      <c r="B326" s="116" t="s">
        <v>1686</v>
      </c>
      <c r="C326" s="117">
        <v>223</v>
      </c>
      <c r="D326" s="91" t="s">
        <v>1687</v>
      </c>
      <c r="E326" s="91" t="s">
        <v>19</v>
      </c>
      <c r="F326" s="121">
        <v>41471</v>
      </c>
      <c r="G326" s="118">
        <f>132</f>
        <v>132</v>
      </c>
      <c r="H326" s="72"/>
      <c r="I326" s="72"/>
      <c r="J326" s="72"/>
      <c r="K326" s="72"/>
      <c r="L326" s="72"/>
      <c r="M326" s="72"/>
      <c r="N326" s="72"/>
      <c r="O326" s="72"/>
      <c r="P326" s="72"/>
      <c r="Q326" s="63">
        <f t="shared" si="26"/>
        <v>213.6</v>
      </c>
      <c r="R326" s="72">
        <f t="shared" si="27"/>
        <v>0</v>
      </c>
      <c r="S326" s="63">
        <f t="shared" si="28"/>
        <v>213.6</v>
      </c>
    </row>
    <row r="327" spans="1:19" x14ac:dyDescent="0.25">
      <c r="A327" s="116" t="s">
        <v>1685</v>
      </c>
      <c r="B327" s="116" t="s">
        <v>1686</v>
      </c>
      <c r="C327" s="117">
        <v>223</v>
      </c>
      <c r="D327" s="91" t="s">
        <v>1688</v>
      </c>
      <c r="E327" s="91" t="s">
        <v>19</v>
      </c>
      <c r="F327" s="121">
        <v>41471</v>
      </c>
      <c r="G327" s="118">
        <f>48</f>
        <v>48</v>
      </c>
      <c r="H327" s="72"/>
      <c r="I327" s="72"/>
      <c r="J327" s="72"/>
      <c r="K327" s="72"/>
      <c r="L327" s="72"/>
      <c r="M327" s="72"/>
      <c r="N327" s="72"/>
      <c r="O327" s="72"/>
      <c r="P327" s="72"/>
      <c r="Q327" s="63">
        <f t="shared" si="26"/>
        <v>132</v>
      </c>
      <c r="R327" s="72">
        <f t="shared" si="27"/>
        <v>0</v>
      </c>
      <c r="S327" s="63">
        <f t="shared" si="28"/>
        <v>132</v>
      </c>
    </row>
    <row r="328" spans="1:19" x14ac:dyDescent="0.25">
      <c r="A328" s="116" t="s">
        <v>1685</v>
      </c>
      <c r="B328" s="116" t="s">
        <v>1686</v>
      </c>
      <c r="C328" s="117">
        <v>223</v>
      </c>
      <c r="D328" s="91" t="s">
        <v>1689</v>
      </c>
      <c r="E328" s="91" t="s">
        <v>19</v>
      </c>
      <c r="F328" s="121">
        <v>41471</v>
      </c>
      <c r="G328" s="118">
        <f>92.67+43.05+124.76+436.6</f>
        <v>697.08</v>
      </c>
      <c r="H328" s="72"/>
      <c r="I328" s="72"/>
      <c r="J328" s="72"/>
      <c r="K328" s="72"/>
      <c r="L328" s="72"/>
      <c r="M328" s="72"/>
      <c r="N328" s="72"/>
      <c r="O328" s="72"/>
      <c r="P328" s="72"/>
      <c r="Q328" s="63">
        <f t="shared" si="26"/>
        <v>48</v>
      </c>
      <c r="R328" s="72">
        <f t="shared" si="27"/>
        <v>0</v>
      </c>
      <c r="S328" s="63">
        <f t="shared" si="28"/>
        <v>48</v>
      </c>
    </row>
    <row r="329" spans="1:19" x14ac:dyDescent="0.25">
      <c r="A329" s="116" t="s">
        <v>1685</v>
      </c>
      <c r="B329" s="116" t="s">
        <v>1686</v>
      </c>
      <c r="C329" s="117">
        <v>223</v>
      </c>
      <c r="D329" s="91" t="s">
        <v>1690</v>
      </c>
      <c r="E329" s="91" t="s">
        <v>19</v>
      </c>
      <c r="F329" s="121">
        <v>41471</v>
      </c>
      <c r="G329" s="77"/>
      <c r="H329" s="72"/>
      <c r="I329" s="72"/>
      <c r="J329" s="72"/>
      <c r="K329" s="72"/>
      <c r="L329" s="72"/>
      <c r="M329" s="72"/>
      <c r="N329" s="72"/>
      <c r="O329" s="72"/>
      <c r="P329" s="72"/>
      <c r="Q329" s="63">
        <f t="shared" si="26"/>
        <v>697.08</v>
      </c>
      <c r="R329" s="72">
        <f t="shared" si="27"/>
        <v>0</v>
      </c>
      <c r="S329" s="63">
        <f t="shared" si="28"/>
        <v>697.08</v>
      </c>
    </row>
    <row r="330" spans="1:19" x14ac:dyDescent="0.25">
      <c r="A330" s="116" t="s">
        <v>1685</v>
      </c>
      <c r="B330" s="116" t="s">
        <v>1686</v>
      </c>
      <c r="C330" s="117">
        <v>223</v>
      </c>
      <c r="D330" s="91" t="s">
        <v>1691</v>
      </c>
      <c r="E330" s="91" t="s">
        <v>19</v>
      </c>
      <c r="F330" s="121">
        <v>41471</v>
      </c>
      <c r="G330" s="118"/>
      <c r="H330" s="72"/>
      <c r="I330" s="72"/>
      <c r="J330" s="72"/>
      <c r="K330" s="72"/>
      <c r="L330" s="72"/>
      <c r="M330" s="72"/>
      <c r="N330" s="72"/>
      <c r="O330" s="72"/>
      <c r="P330" s="72"/>
      <c r="Q330" s="63">
        <f t="shared" si="26"/>
        <v>0</v>
      </c>
      <c r="R330" s="72">
        <f t="shared" si="27"/>
        <v>0</v>
      </c>
      <c r="S330" s="63">
        <f t="shared" si="28"/>
        <v>0</v>
      </c>
    </row>
    <row r="331" spans="1:19" x14ac:dyDescent="0.25">
      <c r="A331" s="116" t="s">
        <v>1685</v>
      </c>
      <c r="B331" s="116" t="s">
        <v>1686</v>
      </c>
      <c r="C331" s="117">
        <v>223</v>
      </c>
      <c r="D331" s="91" t="s">
        <v>1692</v>
      </c>
      <c r="E331" s="91" t="s">
        <v>19</v>
      </c>
      <c r="F331" s="121">
        <v>41471</v>
      </c>
      <c r="G331" s="118">
        <f>135.2</f>
        <v>135.19999999999999</v>
      </c>
      <c r="H331" s="72"/>
      <c r="I331" s="72"/>
      <c r="J331" s="72"/>
      <c r="K331" s="72"/>
      <c r="L331" s="72"/>
      <c r="M331" s="72"/>
      <c r="N331" s="72"/>
      <c r="O331" s="72"/>
      <c r="P331" s="72"/>
      <c r="Q331" s="63">
        <f t="shared" si="26"/>
        <v>0</v>
      </c>
      <c r="R331" s="72">
        <f t="shared" si="27"/>
        <v>0</v>
      </c>
      <c r="S331" s="63">
        <f t="shared" si="28"/>
        <v>0</v>
      </c>
    </row>
    <row r="332" spans="1:19" x14ac:dyDescent="0.25">
      <c r="A332" s="116" t="s">
        <v>1693</v>
      </c>
      <c r="B332" s="116" t="s">
        <v>1694</v>
      </c>
      <c r="C332" s="117">
        <v>224</v>
      </c>
      <c r="D332" s="91" t="s">
        <v>1695</v>
      </c>
      <c r="E332" s="91" t="s">
        <v>19</v>
      </c>
      <c r="F332" s="121">
        <v>41662</v>
      </c>
      <c r="G332" s="97">
        <v>128</v>
      </c>
      <c r="H332" s="72"/>
      <c r="I332" s="72"/>
      <c r="J332" s="72"/>
      <c r="K332" s="72"/>
      <c r="L332" s="72"/>
      <c r="M332" s="72"/>
      <c r="N332" s="72"/>
      <c r="O332" s="72"/>
      <c r="P332" s="72"/>
      <c r="Q332" s="63">
        <f t="shared" si="26"/>
        <v>135.19999999999999</v>
      </c>
      <c r="R332" s="72">
        <f t="shared" si="27"/>
        <v>0</v>
      </c>
      <c r="S332" s="63">
        <f t="shared" si="28"/>
        <v>135.19999999999999</v>
      </c>
    </row>
    <row r="333" spans="1:19" x14ac:dyDescent="0.25">
      <c r="A333" s="116" t="s">
        <v>1696</v>
      </c>
      <c r="B333" s="116" t="s">
        <v>1697</v>
      </c>
      <c r="C333" s="117">
        <v>225</v>
      </c>
      <c r="D333" s="91" t="s">
        <v>1698</v>
      </c>
      <c r="E333" s="91" t="s">
        <v>19</v>
      </c>
      <c r="F333" s="121">
        <v>41435</v>
      </c>
      <c r="G333" s="118">
        <f>550+5821.81</f>
        <v>6371.81</v>
      </c>
      <c r="H333" s="72"/>
      <c r="I333" s="120">
        <v>3000</v>
      </c>
      <c r="J333" s="72"/>
      <c r="K333" s="72"/>
      <c r="L333" s="72"/>
      <c r="M333" s="72"/>
      <c r="N333" s="72"/>
      <c r="O333" s="72"/>
      <c r="P333" s="72"/>
      <c r="Q333" s="63">
        <f t="shared" si="26"/>
        <v>3128</v>
      </c>
      <c r="R333" s="72">
        <f t="shared" si="27"/>
        <v>0</v>
      </c>
      <c r="S333" s="63">
        <f t="shared" si="28"/>
        <v>3128</v>
      </c>
    </row>
    <row r="334" spans="1:19" x14ac:dyDescent="0.25">
      <c r="A334" s="116" t="s">
        <v>1696</v>
      </c>
      <c r="B334" s="116" t="s">
        <v>1697</v>
      </c>
      <c r="C334" s="117">
        <v>225</v>
      </c>
      <c r="D334" s="91" t="s">
        <v>1699</v>
      </c>
      <c r="E334" s="91" t="s">
        <v>19</v>
      </c>
      <c r="F334" s="121">
        <v>41435</v>
      </c>
      <c r="G334" s="118">
        <v>189.2</v>
      </c>
      <c r="H334" s="72"/>
      <c r="I334" s="73"/>
      <c r="J334" s="72"/>
      <c r="K334" s="72"/>
      <c r="L334" s="72"/>
      <c r="M334" s="72"/>
      <c r="N334" s="72"/>
      <c r="O334" s="72"/>
      <c r="P334" s="72"/>
      <c r="Q334" s="63">
        <f t="shared" si="26"/>
        <v>6371.81</v>
      </c>
      <c r="R334" s="72">
        <f t="shared" si="27"/>
        <v>0</v>
      </c>
      <c r="S334" s="63">
        <f t="shared" si="28"/>
        <v>6371.81</v>
      </c>
    </row>
    <row r="335" spans="1:19" x14ac:dyDescent="0.25">
      <c r="A335" s="116" t="s">
        <v>1696</v>
      </c>
      <c r="B335" s="116" t="s">
        <v>1697</v>
      </c>
      <c r="C335" s="117">
        <v>225</v>
      </c>
      <c r="D335" s="91" t="s">
        <v>1700</v>
      </c>
      <c r="E335" s="91" t="s">
        <v>19</v>
      </c>
      <c r="F335" s="121">
        <v>41435</v>
      </c>
      <c r="G335" s="118">
        <f>992.46</f>
        <v>992.46</v>
      </c>
      <c r="H335" s="72"/>
      <c r="I335" s="73"/>
      <c r="J335" s="72"/>
      <c r="K335" s="72"/>
      <c r="L335" s="72"/>
      <c r="M335" s="72"/>
      <c r="N335" s="72"/>
      <c r="O335" s="72"/>
      <c r="P335" s="72"/>
      <c r="Q335" s="63">
        <f t="shared" si="26"/>
        <v>189.2</v>
      </c>
      <c r="R335" s="72">
        <f t="shared" si="27"/>
        <v>0</v>
      </c>
      <c r="S335" s="63">
        <f t="shared" si="28"/>
        <v>189.2</v>
      </c>
    </row>
    <row r="336" spans="1:19" x14ac:dyDescent="0.25">
      <c r="A336" s="116" t="s">
        <v>1696</v>
      </c>
      <c r="B336" s="116" t="s">
        <v>1697</v>
      </c>
      <c r="C336" s="117">
        <v>225</v>
      </c>
      <c r="D336" s="91" t="s">
        <v>1701</v>
      </c>
      <c r="E336" s="91" t="s">
        <v>19</v>
      </c>
      <c r="F336" s="121">
        <v>41435</v>
      </c>
      <c r="G336" s="118">
        <f>141.07</f>
        <v>141.07</v>
      </c>
      <c r="H336" s="72"/>
      <c r="I336" s="73"/>
      <c r="J336" s="72"/>
      <c r="K336" s="72"/>
      <c r="L336" s="72"/>
      <c r="M336" s="72"/>
      <c r="N336" s="72"/>
      <c r="O336" s="72"/>
      <c r="P336" s="72"/>
      <c r="Q336" s="63">
        <f t="shared" si="26"/>
        <v>992.46</v>
      </c>
      <c r="R336" s="72">
        <f t="shared" si="27"/>
        <v>0</v>
      </c>
      <c r="S336" s="63">
        <f t="shared" si="28"/>
        <v>992.46</v>
      </c>
    </row>
    <row r="337" spans="1:19" x14ac:dyDescent="0.25">
      <c r="A337" s="116" t="s">
        <v>1702</v>
      </c>
      <c r="B337" s="116" t="s">
        <v>1703</v>
      </c>
      <c r="C337" s="117">
        <v>226</v>
      </c>
      <c r="D337" s="91" t="s">
        <v>1704</v>
      </c>
      <c r="E337" s="91" t="s">
        <v>19</v>
      </c>
      <c r="F337" s="121">
        <v>41443</v>
      </c>
      <c r="G337" s="118">
        <f>77.94+436.6+64.9+542.45</f>
        <v>1121.8899999999999</v>
      </c>
      <c r="H337" s="72"/>
      <c r="I337" s="120">
        <v>750</v>
      </c>
      <c r="J337" s="72"/>
      <c r="K337" s="72"/>
      <c r="L337" s="72"/>
      <c r="M337" s="72"/>
      <c r="N337" s="72"/>
      <c r="O337" s="72"/>
      <c r="P337" s="72"/>
      <c r="Q337" s="63">
        <f t="shared" si="26"/>
        <v>891.06999999999994</v>
      </c>
      <c r="R337" s="72">
        <f t="shared" si="27"/>
        <v>0</v>
      </c>
      <c r="S337" s="63">
        <f t="shared" si="28"/>
        <v>891.06999999999994</v>
      </c>
    </row>
    <row r="338" spans="1:19" x14ac:dyDescent="0.25">
      <c r="A338" s="116" t="s">
        <v>1705</v>
      </c>
      <c r="B338" s="116" t="s">
        <v>1706</v>
      </c>
      <c r="C338" s="117">
        <v>227</v>
      </c>
      <c r="D338" s="91" t="s">
        <v>1707</v>
      </c>
      <c r="E338" s="91" t="s">
        <v>19</v>
      </c>
      <c r="F338" s="121">
        <v>41445</v>
      </c>
      <c r="G338" s="118">
        <f>610+238+462.7</f>
        <v>1310.7</v>
      </c>
      <c r="H338" s="72"/>
      <c r="I338" s="72"/>
      <c r="J338" s="72"/>
      <c r="K338" s="72"/>
      <c r="L338" s="72"/>
      <c r="M338" s="72"/>
      <c r="N338" s="72"/>
      <c r="O338" s="72"/>
      <c r="P338" s="72"/>
      <c r="Q338" s="63">
        <f t="shared" si="26"/>
        <v>1121.8899999999999</v>
      </c>
      <c r="R338" s="72">
        <f t="shared" si="27"/>
        <v>0</v>
      </c>
      <c r="S338" s="63">
        <f t="shared" si="28"/>
        <v>1121.8899999999999</v>
      </c>
    </row>
    <row r="339" spans="1:19" x14ac:dyDescent="0.25">
      <c r="A339" s="116" t="s">
        <v>1708</v>
      </c>
      <c r="B339" s="116" t="s">
        <v>1709</v>
      </c>
      <c r="C339" s="117">
        <v>228</v>
      </c>
      <c r="D339" s="91" t="s">
        <v>1710</v>
      </c>
      <c r="E339" s="91" t="s">
        <v>19</v>
      </c>
      <c r="F339" s="121">
        <v>41464</v>
      </c>
      <c r="G339" s="118">
        <f>84.06</f>
        <v>84.06</v>
      </c>
      <c r="H339" s="72"/>
      <c r="I339" s="72"/>
      <c r="J339" s="72"/>
      <c r="K339" s="72"/>
      <c r="L339" s="72"/>
      <c r="M339" s="72"/>
      <c r="N339" s="72"/>
      <c r="O339" s="72"/>
      <c r="P339" s="72"/>
      <c r="Q339" s="63">
        <f t="shared" si="26"/>
        <v>1310.7</v>
      </c>
      <c r="R339" s="72">
        <f t="shared" si="27"/>
        <v>0</v>
      </c>
      <c r="S339" s="63">
        <f t="shared" si="28"/>
        <v>1310.7</v>
      </c>
    </row>
    <row r="340" spans="1:19" x14ac:dyDescent="0.25">
      <c r="A340" s="116" t="s">
        <v>1711</v>
      </c>
      <c r="B340" s="116" t="s">
        <v>1712</v>
      </c>
      <c r="C340" s="117">
        <v>229</v>
      </c>
      <c r="D340" s="91" t="s">
        <v>1713</v>
      </c>
      <c r="E340" s="91" t="s">
        <v>19</v>
      </c>
      <c r="F340" s="121">
        <v>41460</v>
      </c>
      <c r="G340" s="118">
        <f>297.65+335.52</f>
        <v>633.16999999999996</v>
      </c>
      <c r="H340" s="72"/>
      <c r="I340" s="72"/>
      <c r="J340" s="72"/>
      <c r="K340" s="72"/>
      <c r="L340" s="72"/>
      <c r="M340" s="72"/>
      <c r="N340" s="72"/>
      <c r="O340" s="72"/>
      <c r="P340" s="72"/>
      <c r="Q340" s="63">
        <f t="shared" si="26"/>
        <v>84.06</v>
      </c>
      <c r="R340" s="72">
        <f t="shared" si="27"/>
        <v>0</v>
      </c>
      <c r="S340" s="63">
        <f t="shared" si="28"/>
        <v>84.06</v>
      </c>
    </row>
    <row r="341" spans="1:19" x14ac:dyDescent="0.25">
      <c r="A341" s="116" t="s">
        <v>1711</v>
      </c>
      <c r="B341" s="116" t="s">
        <v>1712</v>
      </c>
      <c r="C341" s="117">
        <v>229</v>
      </c>
      <c r="D341" s="91" t="s">
        <v>1714</v>
      </c>
      <c r="E341" s="91" t="s">
        <v>19</v>
      </c>
      <c r="F341" s="121">
        <v>41460</v>
      </c>
      <c r="G341" s="118">
        <f>102.12+191.08</f>
        <v>293.20000000000005</v>
      </c>
      <c r="H341" s="72"/>
      <c r="I341" s="72"/>
      <c r="J341" s="72"/>
      <c r="K341" s="72"/>
      <c r="L341" s="72"/>
      <c r="M341" s="72"/>
      <c r="N341" s="72"/>
      <c r="O341" s="72"/>
      <c r="P341" s="72"/>
      <c r="Q341" s="63">
        <f t="shared" si="26"/>
        <v>633.16999999999996</v>
      </c>
      <c r="R341" s="72">
        <f t="shared" si="27"/>
        <v>0</v>
      </c>
      <c r="S341" s="63">
        <f t="shared" si="28"/>
        <v>633.16999999999996</v>
      </c>
    </row>
    <row r="342" spans="1:19" x14ac:dyDescent="0.25">
      <c r="A342" s="116" t="s">
        <v>1715</v>
      </c>
      <c r="B342" s="116" t="s">
        <v>1716</v>
      </c>
      <c r="C342" s="117">
        <v>230</v>
      </c>
      <c r="D342" s="91" t="s">
        <v>1717</v>
      </c>
      <c r="E342" s="91" t="s">
        <v>19</v>
      </c>
      <c r="F342" s="121">
        <v>41439</v>
      </c>
      <c r="G342" s="118">
        <f>56.85+610+238+356.7+940.3</f>
        <v>2201.85</v>
      </c>
      <c r="H342" s="72"/>
      <c r="I342" s="120">
        <f>500</f>
        <v>500</v>
      </c>
      <c r="J342" s="72"/>
      <c r="K342" s="72"/>
      <c r="L342" s="72"/>
      <c r="M342" s="72"/>
      <c r="N342" s="72"/>
      <c r="O342" s="72"/>
      <c r="P342" s="72"/>
      <c r="Q342" s="63">
        <f t="shared" si="26"/>
        <v>793.2</v>
      </c>
      <c r="R342" s="72">
        <f t="shared" si="27"/>
        <v>0</v>
      </c>
      <c r="S342" s="63">
        <f t="shared" si="28"/>
        <v>793.2</v>
      </c>
    </row>
    <row r="343" spans="1:19" x14ac:dyDescent="0.25">
      <c r="A343" s="116" t="s">
        <v>1715</v>
      </c>
      <c r="B343" s="116" t="s">
        <v>1716</v>
      </c>
      <c r="C343" s="117">
        <v>230</v>
      </c>
      <c r="D343" s="91" t="s">
        <v>1718</v>
      </c>
      <c r="E343" s="91" t="s">
        <v>19</v>
      </c>
      <c r="F343" s="121">
        <v>41439</v>
      </c>
      <c r="G343" s="118">
        <v>707.9</v>
      </c>
      <c r="H343" s="72"/>
      <c r="I343" s="73"/>
      <c r="J343" s="72"/>
      <c r="K343" s="72"/>
      <c r="L343" s="72"/>
      <c r="M343" s="83">
        <v>3700</v>
      </c>
      <c r="N343" s="72"/>
      <c r="O343" s="123">
        <v>14800</v>
      </c>
      <c r="P343" s="72"/>
      <c r="Q343" s="63">
        <f t="shared" si="26"/>
        <v>20701.849999999999</v>
      </c>
      <c r="R343" s="72">
        <f t="shared" si="27"/>
        <v>0</v>
      </c>
      <c r="S343" s="63">
        <f t="shared" si="28"/>
        <v>20701.849999999999</v>
      </c>
    </row>
    <row r="344" spans="1:19" x14ac:dyDescent="0.25">
      <c r="A344" s="116" t="s">
        <v>1715</v>
      </c>
      <c r="B344" s="116" t="s">
        <v>1716</v>
      </c>
      <c r="C344" s="117">
        <v>230</v>
      </c>
      <c r="D344" s="91" t="s">
        <v>1719</v>
      </c>
      <c r="E344" s="91" t="s">
        <v>19</v>
      </c>
      <c r="F344" s="121">
        <v>41439</v>
      </c>
      <c r="G344" s="118">
        <f>218.3</f>
        <v>218.3</v>
      </c>
      <c r="H344" s="72"/>
      <c r="I344" s="73"/>
      <c r="J344" s="72"/>
      <c r="K344" s="72"/>
      <c r="L344" s="72"/>
      <c r="M344" s="72"/>
      <c r="N344" s="72"/>
      <c r="O344" s="72"/>
      <c r="P344" s="72"/>
      <c r="Q344" s="63">
        <f t="shared" si="26"/>
        <v>707.9</v>
      </c>
      <c r="R344" s="72">
        <f t="shared" si="27"/>
        <v>0</v>
      </c>
      <c r="S344" s="63">
        <f t="shared" si="28"/>
        <v>707.9</v>
      </c>
    </row>
    <row r="345" spans="1:19" x14ac:dyDescent="0.25">
      <c r="A345" s="116" t="s">
        <v>1720</v>
      </c>
      <c r="B345" s="116" t="s">
        <v>1721</v>
      </c>
      <c r="C345" s="117">
        <v>231</v>
      </c>
      <c r="D345" s="91" t="s">
        <v>1722</v>
      </c>
      <c r="E345" s="91" t="s">
        <v>19</v>
      </c>
      <c r="F345" s="121">
        <v>41460</v>
      </c>
      <c r="G345" s="118">
        <f>74.3+175+143.9</f>
        <v>393.20000000000005</v>
      </c>
      <c r="H345" s="72"/>
      <c r="I345" s="120">
        <v>500</v>
      </c>
      <c r="J345" s="72"/>
      <c r="K345" s="72"/>
      <c r="L345" s="72"/>
      <c r="M345" s="72"/>
      <c r="N345" s="72"/>
      <c r="O345" s="72"/>
      <c r="P345" s="72"/>
      <c r="Q345" s="63">
        <f t="shared" si="26"/>
        <v>718.3</v>
      </c>
      <c r="R345" s="72">
        <f t="shared" si="27"/>
        <v>0</v>
      </c>
      <c r="S345" s="63">
        <f t="shared" si="28"/>
        <v>718.3</v>
      </c>
    </row>
    <row r="346" spans="1:19" x14ac:dyDescent="0.25">
      <c r="A346" s="116" t="s">
        <v>1723</v>
      </c>
      <c r="B346" s="116" t="s">
        <v>1724</v>
      </c>
      <c r="C346" s="117">
        <v>232</v>
      </c>
      <c r="D346" s="91" t="s">
        <v>1725</v>
      </c>
      <c r="E346" s="91" t="s">
        <v>19</v>
      </c>
      <c r="F346" s="121">
        <v>41457</v>
      </c>
      <c r="G346" s="118">
        <f>197.3+48</f>
        <v>245.3</v>
      </c>
      <c r="H346" s="72"/>
      <c r="I346" s="120">
        <v>275</v>
      </c>
      <c r="J346" s="72"/>
      <c r="K346" s="72"/>
      <c r="L346" s="72"/>
      <c r="M346" s="72"/>
      <c r="N346" s="72"/>
      <c r="O346" s="72"/>
      <c r="P346" s="72"/>
      <c r="Q346" s="63">
        <f t="shared" si="26"/>
        <v>668.2</v>
      </c>
      <c r="R346" s="72">
        <f t="shared" si="27"/>
        <v>0</v>
      </c>
      <c r="S346" s="63">
        <f t="shared" si="28"/>
        <v>668.2</v>
      </c>
    </row>
    <row r="347" spans="1:19" x14ac:dyDescent="0.25">
      <c r="A347" s="116" t="s">
        <v>1726</v>
      </c>
      <c r="B347" s="116" t="s">
        <v>1727</v>
      </c>
      <c r="C347" s="117">
        <v>233</v>
      </c>
      <c r="D347" s="91" t="s">
        <v>1728</v>
      </c>
      <c r="E347" s="91" t="s">
        <v>19</v>
      </c>
      <c r="F347" s="121">
        <v>41505</v>
      </c>
      <c r="G347" s="118">
        <f>392.76</f>
        <v>392.76</v>
      </c>
      <c r="H347" s="72"/>
      <c r="I347" s="73"/>
      <c r="J347" s="72"/>
      <c r="K347" s="72"/>
      <c r="L347" s="72"/>
      <c r="M347" s="72"/>
      <c r="N347" s="72"/>
      <c r="O347" s="72"/>
      <c r="P347" s="72"/>
      <c r="Q347" s="63">
        <f t="shared" si="26"/>
        <v>245.3</v>
      </c>
      <c r="R347" s="72">
        <f t="shared" si="27"/>
        <v>0</v>
      </c>
      <c r="S347" s="63">
        <f t="shared" si="28"/>
        <v>245.3</v>
      </c>
    </row>
    <row r="348" spans="1:19" x14ac:dyDescent="0.25">
      <c r="A348" s="116" t="s">
        <v>1726</v>
      </c>
      <c r="B348" s="116" t="s">
        <v>1727</v>
      </c>
      <c r="C348" s="117">
        <v>233</v>
      </c>
      <c r="D348" s="91" t="s">
        <v>1729</v>
      </c>
      <c r="E348" s="91" t="s">
        <v>19</v>
      </c>
      <c r="F348" s="121">
        <v>41505</v>
      </c>
      <c r="G348" s="118">
        <f>408.04</f>
        <v>408.04</v>
      </c>
      <c r="H348" s="72"/>
      <c r="I348" s="73"/>
      <c r="J348" s="72"/>
      <c r="K348" s="72"/>
      <c r="L348" s="72"/>
      <c r="M348" s="72"/>
      <c r="N348" s="72"/>
      <c r="O348" s="72"/>
      <c r="P348" s="72"/>
      <c r="Q348" s="63">
        <f t="shared" si="26"/>
        <v>392.76</v>
      </c>
      <c r="R348" s="72">
        <f t="shared" si="27"/>
        <v>0</v>
      </c>
      <c r="S348" s="63">
        <f t="shared" si="28"/>
        <v>392.76</v>
      </c>
    </row>
    <row r="349" spans="1:19" x14ac:dyDescent="0.25">
      <c r="A349" s="116" t="s">
        <v>1730</v>
      </c>
      <c r="B349" s="116" t="s">
        <v>1731</v>
      </c>
      <c r="C349" s="117">
        <v>234</v>
      </c>
      <c r="D349" s="91" t="s">
        <v>1732</v>
      </c>
      <c r="E349" s="91" t="s">
        <v>19</v>
      </c>
      <c r="F349" s="121">
        <v>41457</v>
      </c>
      <c r="G349" s="118">
        <f>443.21</f>
        <v>443.21</v>
      </c>
      <c r="H349" s="72"/>
      <c r="I349" s="120">
        <f>1250</f>
        <v>1250</v>
      </c>
      <c r="J349" s="72"/>
      <c r="K349" s="72"/>
      <c r="L349" s="72"/>
      <c r="M349" s="72"/>
      <c r="N349" s="72"/>
      <c r="O349" s="72"/>
      <c r="P349" s="72"/>
      <c r="Q349" s="63">
        <f t="shared" si="26"/>
        <v>1658.04</v>
      </c>
      <c r="R349" s="72">
        <f t="shared" si="27"/>
        <v>0</v>
      </c>
      <c r="S349" s="63">
        <f t="shared" si="28"/>
        <v>1658.04</v>
      </c>
    </row>
    <row r="350" spans="1:19" x14ac:dyDescent="0.25">
      <c r="A350" s="116" t="s">
        <v>1733</v>
      </c>
      <c r="B350" s="116" t="s">
        <v>1734</v>
      </c>
      <c r="C350" s="117">
        <v>235</v>
      </c>
      <c r="D350" s="91" t="s">
        <v>1735</v>
      </c>
      <c r="E350" s="91" t="s">
        <v>19</v>
      </c>
      <c r="F350" s="121">
        <v>41451</v>
      </c>
      <c r="G350" s="118">
        <f>108+46.4</f>
        <v>154.4</v>
      </c>
      <c r="H350" s="72"/>
      <c r="I350" s="120">
        <f>250</f>
        <v>250</v>
      </c>
      <c r="J350" s="72"/>
      <c r="K350" s="72"/>
      <c r="L350" s="72"/>
      <c r="M350" s="72"/>
      <c r="N350" s="72"/>
      <c r="O350" s="72"/>
      <c r="P350" s="72"/>
      <c r="Q350" s="63">
        <f t="shared" si="26"/>
        <v>693.21</v>
      </c>
      <c r="R350" s="72">
        <f t="shared" si="27"/>
        <v>0</v>
      </c>
      <c r="S350" s="63">
        <f t="shared" si="28"/>
        <v>693.21</v>
      </c>
    </row>
    <row r="351" spans="1:19" x14ac:dyDescent="0.25">
      <c r="A351" s="116" t="s">
        <v>1736</v>
      </c>
      <c r="B351" s="116" t="s">
        <v>1737</v>
      </c>
      <c r="C351" s="117">
        <v>236</v>
      </c>
      <c r="D351" s="91" t="s">
        <v>1738</v>
      </c>
      <c r="E351" s="91" t="s">
        <v>19</v>
      </c>
      <c r="F351" s="121">
        <v>41431</v>
      </c>
      <c r="G351" s="118">
        <v>87.5</v>
      </c>
      <c r="H351" s="72"/>
      <c r="I351" s="73"/>
      <c r="J351" s="72"/>
      <c r="K351" s="72"/>
      <c r="L351" s="72"/>
      <c r="M351" s="72"/>
      <c r="N351" s="72"/>
      <c r="O351" s="72"/>
      <c r="P351" s="72"/>
      <c r="Q351" s="63">
        <f t="shared" si="26"/>
        <v>154.4</v>
      </c>
      <c r="R351" s="72">
        <f t="shared" si="27"/>
        <v>0</v>
      </c>
      <c r="S351" s="63">
        <f t="shared" si="28"/>
        <v>154.4</v>
      </c>
    </row>
    <row r="352" spans="1:19" x14ac:dyDescent="0.25">
      <c r="A352" s="116" t="s">
        <v>1739</v>
      </c>
      <c r="B352" s="116" t="s">
        <v>1740</v>
      </c>
      <c r="C352" s="117">
        <v>237</v>
      </c>
      <c r="D352" s="91" t="s">
        <v>1741</v>
      </c>
      <c r="E352" s="91" t="s">
        <v>19</v>
      </c>
      <c r="F352" s="121">
        <v>41431</v>
      </c>
      <c r="G352" s="118">
        <v>104.2</v>
      </c>
      <c r="H352" s="72"/>
      <c r="I352" s="72"/>
      <c r="J352" s="72"/>
      <c r="K352" s="72"/>
      <c r="L352" s="72"/>
      <c r="M352" s="72"/>
      <c r="N352" s="72"/>
      <c r="O352" s="72"/>
      <c r="P352" s="72"/>
      <c r="Q352" s="63">
        <f t="shared" si="26"/>
        <v>87.5</v>
      </c>
      <c r="R352" s="72">
        <f t="shared" si="27"/>
        <v>0</v>
      </c>
      <c r="S352" s="63">
        <f t="shared" si="28"/>
        <v>87.5</v>
      </c>
    </row>
    <row r="353" spans="1:19" x14ac:dyDescent="0.25">
      <c r="A353" s="116" t="s">
        <v>1742</v>
      </c>
      <c r="B353" s="116" t="s">
        <v>762</v>
      </c>
      <c r="C353" s="117">
        <v>238</v>
      </c>
      <c r="D353" s="91" t="s">
        <v>1743</v>
      </c>
      <c r="E353" s="91" t="s">
        <v>19</v>
      </c>
      <c r="F353" s="121">
        <v>41460</v>
      </c>
      <c r="G353" s="118">
        <f>49.2</f>
        <v>49.2</v>
      </c>
      <c r="H353" s="72"/>
      <c r="I353" s="72"/>
      <c r="J353" s="72"/>
      <c r="K353" s="72"/>
      <c r="L353" s="72"/>
      <c r="M353" s="72"/>
      <c r="N353" s="72"/>
      <c r="O353" s="72"/>
      <c r="P353" s="72"/>
      <c r="Q353" s="63">
        <f t="shared" si="26"/>
        <v>104.2</v>
      </c>
      <c r="R353" s="72">
        <f t="shared" si="27"/>
        <v>0</v>
      </c>
      <c r="S353" s="63">
        <f t="shared" si="28"/>
        <v>104.2</v>
      </c>
    </row>
    <row r="354" spans="1:19" x14ac:dyDescent="0.25">
      <c r="A354" s="116" t="s">
        <v>1742</v>
      </c>
      <c r="B354" s="116" t="s">
        <v>762</v>
      </c>
      <c r="C354" s="117">
        <v>238</v>
      </c>
      <c r="D354" s="91" t="s">
        <v>1744</v>
      </c>
      <c r="E354" s="91" t="s">
        <v>19</v>
      </c>
      <c r="F354" s="121">
        <v>41460</v>
      </c>
      <c r="G354" s="118">
        <f>40</f>
        <v>40</v>
      </c>
      <c r="H354" s="72"/>
      <c r="I354" s="72"/>
      <c r="J354" s="72"/>
      <c r="K354" s="72"/>
      <c r="L354" s="72"/>
      <c r="M354" s="72"/>
      <c r="N354" s="72"/>
      <c r="O354" s="72"/>
      <c r="P354" s="72"/>
      <c r="Q354" s="63">
        <f t="shared" si="26"/>
        <v>49.2</v>
      </c>
      <c r="R354" s="72">
        <f t="shared" si="27"/>
        <v>0</v>
      </c>
      <c r="S354" s="63">
        <f t="shared" si="28"/>
        <v>49.2</v>
      </c>
    </row>
    <row r="355" spans="1:19" x14ac:dyDescent="0.25">
      <c r="A355" s="116" t="s">
        <v>1745</v>
      </c>
      <c r="B355" s="116" t="s">
        <v>1746</v>
      </c>
      <c r="C355" s="117">
        <v>239</v>
      </c>
      <c r="D355" s="91" t="s">
        <v>1747</v>
      </c>
      <c r="E355" s="91" t="s">
        <v>19</v>
      </c>
      <c r="F355" s="121">
        <v>41460</v>
      </c>
      <c r="G355" s="118">
        <f>277.4</f>
        <v>277.39999999999998</v>
      </c>
      <c r="H355" s="72"/>
      <c r="I355" s="72"/>
      <c r="J355" s="72"/>
      <c r="K355" s="72"/>
      <c r="L355" s="72"/>
      <c r="M355" s="72"/>
      <c r="N355" s="72"/>
      <c r="O355" s="72"/>
      <c r="P355" s="72"/>
      <c r="Q355" s="63">
        <f t="shared" si="26"/>
        <v>40</v>
      </c>
      <c r="R355" s="72">
        <f t="shared" si="27"/>
        <v>0</v>
      </c>
      <c r="S355" s="63">
        <f t="shared" si="28"/>
        <v>40</v>
      </c>
    </row>
    <row r="356" spans="1:19" x14ac:dyDescent="0.25">
      <c r="A356" s="116" t="s">
        <v>1748</v>
      </c>
      <c r="B356" s="116" t="s">
        <v>1749</v>
      </c>
      <c r="C356" s="117">
        <v>240</v>
      </c>
      <c r="D356" s="91" t="s">
        <v>1750</v>
      </c>
      <c r="E356" s="91" t="s">
        <v>19</v>
      </c>
      <c r="F356" s="121">
        <v>41460</v>
      </c>
      <c r="G356" s="118">
        <f>105.5</f>
        <v>105.5</v>
      </c>
      <c r="H356" s="72"/>
      <c r="I356" s="72"/>
      <c r="J356" s="72"/>
      <c r="K356" s="72"/>
      <c r="L356" s="72"/>
      <c r="M356" s="72"/>
      <c r="N356" s="72"/>
      <c r="O356" s="72"/>
      <c r="P356" s="72"/>
      <c r="Q356" s="63">
        <f t="shared" si="26"/>
        <v>277.39999999999998</v>
      </c>
      <c r="R356" s="72">
        <f t="shared" si="27"/>
        <v>0</v>
      </c>
      <c r="S356" s="63">
        <f t="shared" si="28"/>
        <v>277.39999999999998</v>
      </c>
    </row>
    <row r="357" spans="1:19" x14ac:dyDescent="0.25">
      <c r="A357" s="116" t="s">
        <v>1751</v>
      </c>
      <c r="B357" s="116" t="s">
        <v>1752</v>
      </c>
      <c r="C357" s="117">
        <v>241</v>
      </c>
      <c r="D357" s="91" t="s">
        <v>1753</v>
      </c>
      <c r="E357" s="91" t="s">
        <v>19</v>
      </c>
      <c r="F357" s="121">
        <v>41526</v>
      </c>
      <c r="G357" s="118">
        <f>799.3</f>
        <v>799.3</v>
      </c>
      <c r="H357" s="72"/>
      <c r="I357" s="72"/>
      <c r="J357" s="72"/>
      <c r="K357" s="72"/>
      <c r="L357" s="72"/>
      <c r="M357" s="72"/>
      <c r="N357" s="72"/>
      <c r="O357" s="72"/>
      <c r="P357" s="72"/>
      <c r="Q357" s="63">
        <f t="shared" si="26"/>
        <v>105.5</v>
      </c>
      <c r="R357" s="72">
        <f t="shared" si="27"/>
        <v>0</v>
      </c>
      <c r="S357" s="63">
        <f t="shared" si="28"/>
        <v>105.5</v>
      </c>
    </row>
    <row r="358" spans="1:19" x14ac:dyDescent="0.25">
      <c r="A358" s="116" t="s">
        <v>1754</v>
      </c>
      <c r="B358" s="116" t="s">
        <v>1755</v>
      </c>
      <c r="C358" s="117">
        <v>242</v>
      </c>
      <c r="D358" s="91" t="s">
        <v>1756</v>
      </c>
      <c r="E358" s="91" t="s">
        <v>73</v>
      </c>
      <c r="F358" s="121">
        <v>41526</v>
      </c>
      <c r="G358" s="118">
        <f>61+2</f>
        <v>63</v>
      </c>
      <c r="H358" s="72"/>
      <c r="I358" s="72"/>
      <c r="J358" s="72"/>
      <c r="K358" s="72"/>
      <c r="L358" s="72"/>
      <c r="M358" s="72"/>
      <c r="N358" s="72"/>
      <c r="O358" s="72"/>
      <c r="P358" s="72"/>
      <c r="Q358" s="63">
        <f t="shared" si="26"/>
        <v>799.3</v>
      </c>
      <c r="R358" s="72">
        <f t="shared" si="27"/>
        <v>0</v>
      </c>
      <c r="S358" s="63">
        <f t="shared" si="28"/>
        <v>799.3</v>
      </c>
    </row>
    <row r="359" spans="1:19" x14ac:dyDescent="0.25">
      <c r="A359" s="116" t="s">
        <v>1757</v>
      </c>
      <c r="B359" s="116" t="s">
        <v>1758</v>
      </c>
      <c r="C359" s="117">
        <v>243</v>
      </c>
      <c r="D359" s="91" t="s">
        <v>1759</v>
      </c>
      <c r="E359" s="91" t="s">
        <v>19</v>
      </c>
      <c r="F359" s="121">
        <v>41703</v>
      </c>
      <c r="G359" s="118">
        <v>204.7</v>
      </c>
      <c r="H359" s="72"/>
      <c r="I359" s="72"/>
      <c r="J359" s="72"/>
      <c r="K359" s="72"/>
      <c r="L359" s="72"/>
      <c r="M359" s="72"/>
      <c r="N359" s="72"/>
      <c r="O359" s="72"/>
      <c r="P359" s="72"/>
      <c r="Q359" s="63">
        <f t="shared" si="26"/>
        <v>63</v>
      </c>
      <c r="R359" s="72">
        <f t="shared" si="27"/>
        <v>0</v>
      </c>
      <c r="S359" s="63">
        <f t="shared" si="28"/>
        <v>63</v>
      </c>
    </row>
    <row r="360" spans="1:19" x14ac:dyDescent="0.25">
      <c r="A360" s="116" t="s">
        <v>1757</v>
      </c>
      <c r="B360" s="116" t="s">
        <v>1758</v>
      </c>
      <c r="C360" s="117">
        <v>243</v>
      </c>
      <c r="D360" s="91" t="s">
        <v>1760</v>
      </c>
      <c r="E360" s="91" t="s">
        <v>19</v>
      </c>
      <c r="F360" s="121">
        <v>41703</v>
      </c>
      <c r="G360" s="118">
        <f>93.3+75</f>
        <v>168.3</v>
      </c>
      <c r="H360" s="72"/>
      <c r="I360" s="72"/>
      <c r="J360" s="72"/>
      <c r="K360" s="72"/>
      <c r="L360" s="72"/>
      <c r="M360" s="72"/>
      <c r="N360" s="72"/>
      <c r="O360" s="72"/>
      <c r="P360" s="72"/>
      <c r="Q360" s="63">
        <f t="shared" si="26"/>
        <v>204.7</v>
      </c>
      <c r="R360" s="72">
        <f t="shared" si="27"/>
        <v>0</v>
      </c>
      <c r="S360" s="63">
        <f t="shared" si="28"/>
        <v>204.7</v>
      </c>
    </row>
    <row r="361" spans="1:19" x14ac:dyDescent="0.25">
      <c r="A361" s="116" t="s">
        <v>1757</v>
      </c>
      <c r="B361" s="116" t="s">
        <v>1758</v>
      </c>
      <c r="C361" s="117">
        <v>243</v>
      </c>
      <c r="D361" s="124" t="s">
        <v>1761</v>
      </c>
      <c r="E361" s="91" t="s">
        <v>19</v>
      </c>
      <c r="F361" s="121">
        <v>41703</v>
      </c>
      <c r="G361" s="118">
        <v>40</v>
      </c>
      <c r="H361" s="72"/>
      <c r="I361" s="72"/>
      <c r="J361" s="72"/>
      <c r="K361" s="72"/>
      <c r="L361" s="72"/>
      <c r="M361" s="72"/>
      <c r="N361" s="72"/>
      <c r="O361" s="72"/>
      <c r="P361" s="72"/>
      <c r="Q361" s="63">
        <f t="shared" si="26"/>
        <v>168.3</v>
      </c>
      <c r="R361" s="72">
        <f t="shared" si="27"/>
        <v>0</v>
      </c>
      <c r="S361" s="63">
        <f t="shared" si="28"/>
        <v>168.3</v>
      </c>
    </row>
    <row r="362" spans="1:19" x14ac:dyDescent="0.25">
      <c r="A362" s="116" t="s">
        <v>1762</v>
      </c>
      <c r="B362" s="116" t="s">
        <v>517</v>
      </c>
      <c r="C362" s="117">
        <v>244</v>
      </c>
      <c r="D362" s="91" t="s">
        <v>1763</v>
      </c>
      <c r="E362" s="91" t="s">
        <v>19</v>
      </c>
      <c r="F362" s="121">
        <v>41717</v>
      </c>
      <c r="G362" s="118">
        <f>173.5+35</f>
        <v>208.5</v>
      </c>
      <c r="H362" s="72"/>
      <c r="I362" s="72"/>
      <c r="J362" s="72"/>
      <c r="K362" s="72"/>
      <c r="L362" s="72"/>
      <c r="M362" s="72"/>
      <c r="N362" s="72"/>
      <c r="O362" s="72"/>
      <c r="P362" s="72"/>
      <c r="Q362" s="63">
        <f t="shared" si="26"/>
        <v>40</v>
      </c>
      <c r="R362" s="72">
        <f t="shared" si="27"/>
        <v>0</v>
      </c>
      <c r="S362" s="63">
        <f t="shared" si="28"/>
        <v>40</v>
      </c>
    </row>
    <row r="363" spans="1:19" x14ac:dyDescent="0.25">
      <c r="A363" s="116" t="s">
        <v>1764</v>
      </c>
      <c r="B363" s="116" t="s">
        <v>1765</v>
      </c>
      <c r="C363" s="117">
        <v>245</v>
      </c>
      <c r="D363" s="91" t="s">
        <v>1766</v>
      </c>
      <c r="E363" s="91" t="s">
        <v>19</v>
      </c>
      <c r="F363" s="121">
        <v>41509</v>
      </c>
      <c r="G363" s="118">
        <f>289.1</f>
        <v>289.10000000000002</v>
      </c>
      <c r="H363" s="72"/>
      <c r="I363" s="72"/>
      <c r="J363" s="72"/>
      <c r="K363" s="72"/>
      <c r="L363" s="72"/>
      <c r="M363" s="72"/>
      <c r="N363" s="72"/>
      <c r="O363" s="72"/>
      <c r="P363" s="72"/>
      <c r="Q363" s="63">
        <f t="shared" si="26"/>
        <v>208.5</v>
      </c>
      <c r="R363" s="72">
        <f t="shared" si="27"/>
        <v>0</v>
      </c>
      <c r="S363" s="63">
        <f t="shared" si="28"/>
        <v>208.5</v>
      </c>
    </row>
    <row r="364" spans="1:19" x14ac:dyDescent="0.25">
      <c r="A364" s="116" t="s">
        <v>1764</v>
      </c>
      <c r="B364" s="116" t="s">
        <v>1765</v>
      </c>
      <c r="C364" s="117">
        <v>245</v>
      </c>
      <c r="D364" s="91" t="s">
        <v>1767</v>
      </c>
      <c r="E364" s="91" t="s">
        <v>19</v>
      </c>
      <c r="F364" s="121">
        <v>41509</v>
      </c>
      <c r="G364" s="118">
        <f>86.2</f>
        <v>86.2</v>
      </c>
      <c r="H364" s="72"/>
      <c r="I364" s="72"/>
      <c r="J364" s="72"/>
      <c r="K364" s="72"/>
      <c r="L364" s="72"/>
      <c r="M364" s="72"/>
      <c r="N364" s="72"/>
      <c r="O364" s="72"/>
      <c r="P364" s="72"/>
      <c r="Q364" s="63">
        <f t="shared" si="26"/>
        <v>289.10000000000002</v>
      </c>
      <c r="R364" s="72">
        <f t="shared" si="27"/>
        <v>0</v>
      </c>
      <c r="S364" s="63">
        <f t="shared" si="28"/>
        <v>289.10000000000002</v>
      </c>
    </row>
    <row r="365" spans="1:19" x14ac:dyDescent="0.25">
      <c r="A365" s="116" t="s">
        <v>1768</v>
      </c>
      <c r="B365" s="116" t="s">
        <v>1769</v>
      </c>
      <c r="C365" s="117">
        <v>246</v>
      </c>
      <c r="D365" s="91" t="s">
        <v>1770</v>
      </c>
      <c r="E365" s="91" t="s">
        <v>19</v>
      </c>
      <c r="F365" s="121">
        <v>41465</v>
      </c>
      <c r="G365" s="118">
        <f>128.63</f>
        <v>128.63</v>
      </c>
      <c r="H365" s="72"/>
      <c r="I365" s="72"/>
      <c r="J365" s="72"/>
      <c r="K365" s="72"/>
      <c r="L365" s="72"/>
      <c r="M365" s="72"/>
      <c r="N365" s="72"/>
      <c r="O365" s="72"/>
      <c r="P365" s="72"/>
      <c r="Q365" s="63">
        <f t="shared" si="26"/>
        <v>86.2</v>
      </c>
      <c r="R365" s="72">
        <f t="shared" si="27"/>
        <v>0</v>
      </c>
      <c r="S365" s="63">
        <f t="shared" si="28"/>
        <v>86.2</v>
      </c>
    </row>
    <row r="366" spans="1:19" x14ac:dyDescent="0.25">
      <c r="A366" s="116" t="s">
        <v>1771</v>
      </c>
      <c r="B366" s="116" t="s">
        <v>1772</v>
      </c>
      <c r="C366" s="117">
        <v>247</v>
      </c>
      <c r="D366" s="91" t="s">
        <v>1773</v>
      </c>
      <c r="E366" s="91" t="s">
        <v>19</v>
      </c>
      <c r="F366" s="121">
        <v>41460</v>
      </c>
      <c r="G366" s="118">
        <v>185.14</v>
      </c>
      <c r="H366" s="72"/>
      <c r="I366" s="72"/>
      <c r="J366" s="72"/>
      <c r="K366" s="72"/>
      <c r="L366" s="72"/>
      <c r="M366" s="72"/>
      <c r="N366" s="72"/>
      <c r="O366" s="72"/>
      <c r="P366" s="72"/>
      <c r="Q366" s="63">
        <f t="shared" si="26"/>
        <v>128.63</v>
      </c>
      <c r="R366" s="72">
        <f t="shared" si="27"/>
        <v>0</v>
      </c>
      <c r="S366" s="63">
        <f t="shared" si="28"/>
        <v>128.63</v>
      </c>
    </row>
    <row r="367" spans="1:19" x14ac:dyDescent="0.25">
      <c r="A367" s="116" t="s">
        <v>1774</v>
      </c>
      <c r="B367" s="116" t="s">
        <v>1775</v>
      </c>
      <c r="C367" s="117">
        <v>248</v>
      </c>
      <c r="D367" s="91" t="s">
        <v>1776</v>
      </c>
      <c r="E367" s="91" t="s">
        <v>19</v>
      </c>
      <c r="F367" s="121">
        <v>41439</v>
      </c>
      <c r="G367" s="118">
        <v>262.86</v>
      </c>
      <c r="H367" s="72"/>
      <c r="I367" s="72"/>
      <c r="J367" s="72"/>
      <c r="K367" s="72"/>
      <c r="L367" s="72"/>
      <c r="M367" s="72"/>
      <c r="N367" s="72"/>
      <c r="O367" s="72"/>
      <c r="P367" s="72"/>
      <c r="Q367" s="63">
        <f t="shared" si="26"/>
        <v>185.14</v>
      </c>
      <c r="R367" s="72">
        <f t="shared" si="27"/>
        <v>0</v>
      </c>
      <c r="S367" s="63">
        <f t="shared" si="28"/>
        <v>185.14</v>
      </c>
    </row>
    <row r="368" spans="1:19" x14ac:dyDescent="0.25">
      <c r="A368" s="116" t="s">
        <v>1777</v>
      </c>
      <c r="B368" s="116" t="s">
        <v>1778</v>
      </c>
      <c r="C368" s="117">
        <v>249</v>
      </c>
      <c r="D368" s="91" t="s">
        <v>1779</v>
      </c>
      <c r="E368" s="91" t="s">
        <v>19</v>
      </c>
      <c r="F368" s="121">
        <v>41439</v>
      </c>
      <c r="G368" s="77">
        <v>92.21</v>
      </c>
      <c r="H368" s="72"/>
      <c r="I368" s="72"/>
      <c r="J368" s="72"/>
      <c r="K368" s="72"/>
      <c r="L368" s="72"/>
      <c r="M368" s="72"/>
      <c r="N368" s="72"/>
      <c r="O368" s="72"/>
      <c r="P368" s="72"/>
      <c r="Q368" s="63">
        <f t="shared" si="26"/>
        <v>262.86</v>
      </c>
      <c r="R368" s="72">
        <f t="shared" si="27"/>
        <v>0</v>
      </c>
      <c r="S368" s="63">
        <f t="shared" si="28"/>
        <v>262.86</v>
      </c>
    </row>
    <row r="369" spans="1:19" x14ac:dyDescent="0.25">
      <c r="A369" s="116" t="s">
        <v>1780</v>
      </c>
      <c r="B369" s="116" t="s">
        <v>1781</v>
      </c>
      <c r="C369" s="117">
        <v>250</v>
      </c>
      <c r="D369" s="91" t="s">
        <v>1782</v>
      </c>
      <c r="E369" s="91" t="s">
        <v>19</v>
      </c>
      <c r="F369" s="121">
        <v>41457</v>
      </c>
      <c r="G369" s="118">
        <f>57.62+41.3+57.62+4100.69+41.3+52.69+94.88</f>
        <v>4446.0999999999995</v>
      </c>
      <c r="H369" s="72"/>
      <c r="I369" s="120">
        <v>1500</v>
      </c>
      <c r="J369" s="72"/>
      <c r="K369" s="72"/>
      <c r="L369" s="72"/>
      <c r="M369" s="72"/>
      <c r="N369" s="72"/>
      <c r="O369" s="72"/>
      <c r="P369" s="72"/>
      <c r="Q369" s="63">
        <f t="shared" si="26"/>
        <v>1592.21</v>
      </c>
      <c r="R369" s="72">
        <f t="shared" si="27"/>
        <v>0</v>
      </c>
      <c r="S369" s="63">
        <f t="shared" si="28"/>
        <v>1592.21</v>
      </c>
    </row>
    <row r="370" spans="1:19" x14ac:dyDescent="0.25">
      <c r="A370" s="116" t="s">
        <v>1783</v>
      </c>
      <c r="B370" s="116" t="s">
        <v>1784</v>
      </c>
      <c r="C370" s="117">
        <v>251</v>
      </c>
      <c r="D370" s="91" t="s">
        <v>1785</v>
      </c>
      <c r="E370" s="91" t="s">
        <v>19</v>
      </c>
      <c r="F370" s="121">
        <v>41526</v>
      </c>
      <c r="G370" s="118">
        <f>48.4</f>
        <v>48.4</v>
      </c>
      <c r="H370" s="72"/>
      <c r="I370" s="73"/>
      <c r="J370" s="72"/>
      <c r="K370" s="72"/>
      <c r="L370" s="72"/>
      <c r="M370" s="72"/>
      <c r="N370" s="72"/>
      <c r="O370" s="72"/>
      <c r="P370" s="72"/>
      <c r="Q370" s="63">
        <f t="shared" si="26"/>
        <v>4446.0999999999995</v>
      </c>
      <c r="R370" s="72">
        <f t="shared" si="27"/>
        <v>0</v>
      </c>
      <c r="S370" s="63">
        <f t="shared" si="28"/>
        <v>4446.0999999999995</v>
      </c>
    </row>
    <row r="371" spans="1:19" x14ac:dyDescent="0.25">
      <c r="A371" s="116" t="s">
        <v>1786</v>
      </c>
      <c r="B371" s="116" t="s">
        <v>1787</v>
      </c>
      <c r="C371" s="117">
        <v>252</v>
      </c>
      <c r="D371" s="91" t="s">
        <v>1788</v>
      </c>
      <c r="E371" s="91" t="s">
        <v>19</v>
      </c>
      <c r="F371" s="121">
        <v>41597</v>
      </c>
      <c r="G371" s="118">
        <f>883.75</f>
        <v>883.75</v>
      </c>
      <c r="H371" s="72"/>
      <c r="I371" s="73"/>
      <c r="J371" s="72"/>
      <c r="K371" s="72"/>
      <c r="L371" s="72"/>
      <c r="M371" s="72"/>
      <c r="N371" s="72"/>
      <c r="O371" s="72"/>
      <c r="P371" s="72"/>
      <c r="Q371" s="63">
        <f t="shared" si="26"/>
        <v>48.4</v>
      </c>
      <c r="R371" s="72">
        <f t="shared" si="27"/>
        <v>0</v>
      </c>
      <c r="S371" s="63">
        <f t="shared" si="28"/>
        <v>48.4</v>
      </c>
    </row>
    <row r="372" spans="1:19" x14ac:dyDescent="0.25">
      <c r="A372" s="116" t="s">
        <v>1789</v>
      </c>
      <c r="B372" s="116" t="s">
        <v>1790</v>
      </c>
      <c r="C372" s="117">
        <v>253</v>
      </c>
      <c r="D372" s="91" t="s">
        <v>1791</v>
      </c>
      <c r="E372" s="91" t="s">
        <v>19</v>
      </c>
      <c r="F372" s="121">
        <v>41461</v>
      </c>
      <c r="G372" s="118">
        <f>94.4+47.2+55.5+145.38+100.3+741.36</f>
        <v>1184.1400000000001</v>
      </c>
      <c r="H372" s="72"/>
      <c r="I372" s="120">
        <v>750</v>
      </c>
      <c r="J372" s="72"/>
      <c r="K372" s="72"/>
      <c r="L372" s="72"/>
      <c r="M372" s="72"/>
      <c r="N372" s="72"/>
      <c r="O372" s="72"/>
      <c r="P372" s="72"/>
      <c r="Q372" s="63">
        <f t="shared" si="26"/>
        <v>1633.75</v>
      </c>
      <c r="R372" s="72">
        <f t="shared" si="27"/>
        <v>0</v>
      </c>
      <c r="S372" s="63">
        <f t="shared" si="28"/>
        <v>1633.75</v>
      </c>
    </row>
    <row r="373" spans="1:19" x14ac:dyDescent="0.25">
      <c r="A373" s="116" t="s">
        <v>1789</v>
      </c>
      <c r="B373" s="116" t="s">
        <v>1790</v>
      </c>
      <c r="C373" s="117">
        <v>253</v>
      </c>
      <c r="D373" s="91" t="s">
        <v>1792</v>
      </c>
      <c r="E373" s="91" t="s">
        <v>19</v>
      </c>
      <c r="F373" s="121">
        <v>41461</v>
      </c>
      <c r="G373" s="118">
        <f>58.41+145.38+966.99</f>
        <v>1170.78</v>
      </c>
      <c r="H373" s="72"/>
      <c r="I373" s="120">
        <v>750</v>
      </c>
      <c r="J373" s="72"/>
      <c r="K373" s="72"/>
      <c r="L373" s="72"/>
      <c r="M373" s="72"/>
      <c r="N373" s="72"/>
      <c r="O373" s="72"/>
      <c r="P373" s="72"/>
      <c r="Q373" s="63">
        <f t="shared" si="26"/>
        <v>1934.14</v>
      </c>
      <c r="R373" s="72">
        <f t="shared" si="27"/>
        <v>0</v>
      </c>
      <c r="S373" s="63">
        <f t="shared" si="28"/>
        <v>1934.14</v>
      </c>
    </row>
    <row r="374" spans="1:19" x14ac:dyDescent="0.25">
      <c r="A374" s="116" t="s">
        <v>1793</v>
      </c>
      <c r="B374" s="116" t="s">
        <v>1794</v>
      </c>
      <c r="C374" s="117">
        <v>254</v>
      </c>
      <c r="D374" s="91" t="s">
        <v>1795</v>
      </c>
      <c r="E374" s="91" t="s">
        <v>19</v>
      </c>
      <c r="F374" s="121">
        <v>41558</v>
      </c>
      <c r="G374" s="118">
        <f>240+502.29</f>
        <v>742.29</v>
      </c>
      <c r="H374" s="72"/>
      <c r="I374" s="72"/>
      <c r="J374" s="72"/>
      <c r="K374" s="72"/>
      <c r="L374" s="72"/>
      <c r="M374" s="72"/>
      <c r="N374" s="72"/>
      <c r="O374" s="72"/>
      <c r="P374" s="72"/>
      <c r="Q374" s="63">
        <f t="shared" si="26"/>
        <v>1170.78</v>
      </c>
      <c r="R374" s="72">
        <f t="shared" si="27"/>
        <v>0</v>
      </c>
      <c r="S374" s="63">
        <f t="shared" si="28"/>
        <v>1170.78</v>
      </c>
    </row>
    <row r="375" spans="1:19" x14ac:dyDescent="0.25">
      <c r="A375" s="116" t="s">
        <v>1796</v>
      </c>
      <c r="B375" s="116" t="s">
        <v>1797</v>
      </c>
      <c r="C375" s="117">
        <v>255</v>
      </c>
      <c r="D375" s="91" t="s">
        <v>1798</v>
      </c>
      <c r="E375" s="91" t="s">
        <v>19</v>
      </c>
      <c r="F375" s="125" t="s">
        <v>3266</v>
      </c>
      <c r="G375" s="118">
        <v>89.76</v>
      </c>
      <c r="H375" s="72"/>
      <c r="I375" s="72"/>
      <c r="J375" s="72"/>
      <c r="K375" s="72"/>
      <c r="L375" s="72"/>
      <c r="M375" s="72"/>
      <c r="N375" s="72"/>
      <c r="O375" s="72"/>
      <c r="P375" s="72"/>
      <c r="Q375" s="63">
        <f t="shared" si="26"/>
        <v>742.29</v>
      </c>
      <c r="R375" s="72">
        <f t="shared" si="27"/>
        <v>0</v>
      </c>
      <c r="S375" s="63">
        <f t="shared" si="28"/>
        <v>742.29</v>
      </c>
    </row>
    <row r="376" spans="1:19" x14ac:dyDescent="0.25">
      <c r="A376" s="116" t="s">
        <v>1799</v>
      </c>
      <c r="B376" s="116" t="s">
        <v>1800</v>
      </c>
      <c r="C376" s="117">
        <v>256</v>
      </c>
      <c r="D376" s="91" t="s">
        <v>1801</v>
      </c>
      <c r="E376" s="91" t="s">
        <v>19</v>
      </c>
      <c r="F376" s="121">
        <v>41439</v>
      </c>
      <c r="G376" s="118">
        <v>236.07</v>
      </c>
      <c r="H376" s="72"/>
      <c r="I376" s="72"/>
      <c r="J376" s="72"/>
      <c r="K376" s="72"/>
      <c r="L376" s="72"/>
      <c r="M376" s="72"/>
      <c r="N376" s="72"/>
      <c r="O376" s="72"/>
      <c r="P376" s="72"/>
      <c r="Q376" s="63">
        <f t="shared" si="26"/>
        <v>89.76</v>
      </c>
      <c r="R376" s="72">
        <f t="shared" si="27"/>
        <v>0</v>
      </c>
      <c r="S376" s="63">
        <f t="shared" si="28"/>
        <v>89.76</v>
      </c>
    </row>
    <row r="377" spans="1:19" x14ac:dyDescent="0.25">
      <c r="A377" s="116" t="s">
        <v>1802</v>
      </c>
      <c r="B377" s="116" t="s">
        <v>1803</v>
      </c>
      <c r="C377" s="117">
        <v>257</v>
      </c>
      <c r="D377" s="91" t="s">
        <v>1804</v>
      </c>
      <c r="E377" s="91" t="s">
        <v>19</v>
      </c>
      <c r="F377" s="121">
        <v>41717</v>
      </c>
      <c r="G377" s="126">
        <v>105</v>
      </c>
      <c r="H377" s="72"/>
      <c r="I377" s="72"/>
      <c r="J377" s="72"/>
      <c r="K377" s="72"/>
      <c r="L377" s="72"/>
      <c r="M377" s="72"/>
      <c r="N377" s="72"/>
      <c r="O377" s="72"/>
      <c r="P377" s="72"/>
      <c r="Q377" s="63">
        <f t="shared" si="26"/>
        <v>236.07</v>
      </c>
      <c r="R377" s="72">
        <f t="shared" si="27"/>
        <v>0</v>
      </c>
      <c r="S377" s="63">
        <f t="shared" si="28"/>
        <v>236.07</v>
      </c>
    </row>
    <row r="378" spans="1:19" x14ac:dyDescent="0.25">
      <c r="A378" s="116" t="s">
        <v>1805</v>
      </c>
      <c r="B378" s="116" t="s">
        <v>1806</v>
      </c>
      <c r="C378" s="117">
        <v>258</v>
      </c>
      <c r="D378" s="91" t="s">
        <v>1807</v>
      </c>
      <c r="E378" s="91" t="s">
        <v>19</v>
      </c>
      <c r="F378" s="121">
        <v>41451</v>
      </c>
      <c r="G378" s="118">
        <v>99</v>
      </c>
      <c r="H378" s="72"/>
      <c r="I378" s="72"/>
      <c r="J378" s="72"/>
      <c r="K378" s="72"/>
      <c r="L378" s="72"/>
      <c r="M378" s="72"/>
      <c r="N378" s="72"/>
      <c r="O378" s="72"/>
      <c r="P378" s="72"/>
      <c r="Q378" s="63">
        <f t="shared" si="26"/>
        <v>105</v>
      </c>
      <c r="R378" s="72">
        <f t="shared" si="27"/>
        <v>0</v>
      </c>
      <c r="S378" s="63">
        <f t="shared" si="28"/>
        <v>105</v>
      </c>
    </row>
    <row r="379" spans="1:19" x14ac:dyDescent="0.25">
      <c r="A379" s="116" t="s">
        <v>1808</v>
      </c>
      <c r="B379" s="116" t="s">
        <v>1809</v>
      </c>
      <c r="C379" s="117">
        <v>259</v>
      </c>
      <c r="D379" s="91" t="s">
        <v>1810</v>
      </c>
      <c r="E379" s="91" t="s">
        <v>19</v>
      </c>
      <c r="F379" s="121">
        <v>41498</v>
      </c>
      <c r="G379" s="118">
        <f>94.93+47.2+701.07+94.93</f>
        <v>938.13000000000011</v>
      </c>
      <c r="H379" s="72"/>
      <c r="I379" s="72"/>
      <c r="J379" s="72"/>
      <c r="K379" s="72"/>
      <c r="L379" s="72"/>
      <c r="M379" s="72"/>
      <c r="N379" s="72"/>
      <c r="O379" s="72"/>
      <c r="P379" s="72"/>
      <c r="Q379" s="63">
        <f t="shared" si="26"/>
        <v>99</v>
      </c>
      <c r="R379" s="72">
        <f t="shared" si="27"/>
        <v>0</v>
      </c>
      <c r="S379" s="63">
        <f t="shared" si="28"/>
        <v>99</v>
      </c>
    </row>
    <row r="380" spans="1:19" x14ac:dyDescent="0.25">
      <c r="A380" s="116" t="s">
        <v>1811</v>
      </c>
      <c r="B380" s="116" t="s">
        <v>1812</v>
      </c>
      <c r="C380" s="117">
        <v>260</v>
      </c>
      <c r="D380" s="91" t="s">
        <v>1813</v>
      </c>
      <c r="E380" s="91" t="s">
        <v>19</v>
      </c>
      <c r="F380" s="121">
        <v>41473</v>
      </c>
      <c r="G380" s="118">
        <f>15583.4+1590+277.27+154.2</f>
        <v>17604.870000000003</v>
      </c>
      <c r="H380" s="72"/>
      <c r="I380" s="120">
        <f>750+1500+1450</f>
        <v>3700</v>
      </c>
      <c r="J380" s="72"/>
      <c r="K380" s="72"/>
      <c r="L380" s="72"/>
      <c r="M380" s="72"/>
      <c r="N380" s="72"/>
      <c r="O380" s="72"/>
      <c r="P380" s="72"/>
      <c r="Q380" s="63">
        <f t="shared" si="26"/>
        <v>4638.13</v>
      </c>
      <c r="R380" s="72">
        <f t="shared" si="27"/>
        <v>0</v>
      </c>
      <c r="S380" s="63">
        <f t="shared" si="28"/>
        <v>4638.13</v>
      </c>
    </row>
    <row r="381" spans="1:19" x14ac:dyDescent="0.25">
      <c r="A381" s="116" t="s">
        <v>1811</v>
      </c>
      <c r="B381" s="116" t="s">
        <v>1812</v>
      </c>
      <c r="C381" s="117">
        <v>260</v>
      </c>
      <c r="D381" s="91" t="s">
        <v>1814</v>
      </c>
      <c r="E381" s="91" t="s">
        <v>19</v>
      </c>
      <c r="F381" s="121">
        <v>41473</v>
      </c>
      <c r="G381" s="118">
        <f>410.7</f>
        <v>410.7</v>
      </c>
      <c r="H381" s="72"/>
      <c r="I381" s="73"/>
      <c r="J381" s="72"/>
      <c r="K381" s="72"/>
      <c r="L381" s="72"/>
      <c r="M381" s="72"/>
      <c r="N381" s="72"/>
      <c r="O381" s="72"/>
      <c r="P381" s="72"/>
      <c r="Q381" s="63">
        <f t="shared" si="26"/>
        <v>17604.870000000003</v>
      </c>
      <c r="R381" s="72">
        <f t="shared" si="27"/>
        <v>0</v>
      </c>
      <c r="S381" s="63">
        <f t="shared" si="28"/>
        <v>17604.870000000003</v>
      </c>
    </row>
    <row r="382" spans="1:19" x14ac:dyDescent="0.25">
      <c r="A382" s="116" t="s">
        <v>1811</v>
      </c>
      <c r="B382" s="116" t="s">
        <v>1812</v>
      </c>
      <c r="C382" s="117">
        <v>260</v>
      </c>
      <c r="D382" s="91" t="s">
        <v>1815</v>
      </c>
      <c r="E382" s="91" t="s">
        <v>19</v>
      </c>
      <c r="F382" s="121">
        <v>41473</v>
      </c>
      <c r="G382" s="118">
        <f>848+397.7+16998.37</f>
        <v>18244.07</v>
      </c>
      <c r="H382" s="72"/>
      <c r="I382" s="73"/>
      <c r="J382" s="72"/>
      <c r="K382" s="72"/>
      <c r="L382" s="72"/>
      <c r="M382" s="123">
        <v>3700</v>
      </c>
      <c r="N382" s="72"/>
      <c r="O382" s="123">
        <v>14800</v>
      </c>
      <c r="P382" s="72"/>
      <c r="Q382" s="63">
        <f t="shared" si="26"/>
        <v>18910.7</v>
      </c>
      <c r="R382" s="72">
        <f t="shared" si="27"/>
        <v>0</v>
      </c>
      <c r="S382" s="63">
        <f t="shared" si="28"/>
        <v>18910.7</v>
      </c>
    </row>
    <row r="383" spans="1:19" x14ac:dyDescent="0.25">
      <c r="A383" s="116" t="s">
        <v>1811</v>
      </c>
      <c r="B383" s="116" t="s">
        <v>1812</v>
      </c>
      <c r="C383" s="117">
        <v>260</v>
      </c>
      <c r="D383" s="91" t="s">
        <v>1816</v>
      </c>
      <c r="E383" s="91" t="s">
        <v>19</v>
      </c>
      <c r="F383" s="121">
        <v>41473</v>
      </c>
      <c r="G383" s="118">
        <f>207.21</f>
        <v>207.21</v>
      </c>
      <c r="H383" s="72"/>
      <c r="I383" s="73"/>
      <c r="J383" s="72"/>
      <c r="K383" s="72"/>
      <c r="L383" s="72"/>
      <c r="M383" s="72"/>
      <c r="N383" s="72"/>
      <c r="O383" s="72"/>
      <c r="P383" s="72"/>
      <c r="Q383" s="63">
        <f t="shared" si="26"/>
        <v>18244.07</v>
      </c>
      <c r="R383" s="72">
        <f t="shared" si="27"/>
        <v>0</v>
      </c>
      <c r="S383" s="63">
        <f t="shared" si="28"/>
        <v>18244.07</v>
      </c>
    </row>
    <row r="384" spans="1:19" x14ac:dyDescent="0.25">
      <c r="A384" s="116" t="s">
        <v>1811</v>
      </c>
      <c r="B384" s="116" t="s">
        <v>1812</v>
      </c>
      <c r="C384" s="117">
        <v>260</v>
      </c>
      <c r="D384" s="91" t="s">
        <v>1817</v>
      </c>
      <c r="E384" s="91" t="s">
        <v>19</v>
      </c>
      <c r="F384" s="121">
        <v>41473</v>
      </c>
      <c r="G384" s="118">
        <v>68.39</v>
      </c>
      <c r="H384" s="72"/>
      <c r="I384" s="73"/>
      <c r="J384" s="72"/>
      <c r="K384" s="72"/>
      <c r="L384" s="72"/>
      <c r="M384" s="72"/>
      <c r="N384" s="72"/>
      <c r="O384" s="72"/>
      <c r="P384" s="72"/>
      <c r="Q384" s="63">
        <f t="shared" si="26"/>
        <v>207.21</v>
      </c>
      <c r="R384" s="72">
        <f t="shared" si="27"/>
        <v>0</v>
      </c>
      <c r="S384" s="63">
        <f t="shared" si="28"/>
        <v>207.21</v>
      </c>
    </row>
    <row r="385" spans="1:19" x14ac:dyDescent="0.25">
      <c r="A385" s="116" t="s">
        <v>1818</v>
      </c>
      <c r="B385" s="116" t="s">
        <v>1819</v>
      </c>
      <c r="C385" s="117">
        <v>261</v>
      </c>
      <c r="D385" s="91" t="s">
        <v>1820</v>
      </c>
      <c r="E385" s="91" t="s">
        <v>19</v>
      </c>
      <c r="F385" s="121">
        <v>41466</v>
      </c>
      <c r="G385" s="118">
        <f>264.5+580+433+280</f>
        <v>1557.5</v>
      </c>
      <c r="H385" s="72"/>
      <c r="I385" s="120">
        <v>1500</v>
      </c>
      <c r="J385" s="72"/>
      <c r="K385" s="72"/>
      <c r="L385" s="72"/>
      <c r="M385" s="72"/>
      <c r="N385" s="72"/>
      <c r="O385" s="72"/>
      <c r="P385" s="72"/>
      <c r="Q385" s="63">
        <f t="shared" ref="Q385:Q425" si="29">+G384+I385+K385+M385+O385</f>
        <v>1568.39</v>
      </c>
      <c r="R385" s="72">
        <f t="shared" ref="R385:R425" si="30">+H385+J385+L385+N385+P385</f>
        <v>0</v>
      </c>
      <c r="S385" s="63">
        <f t="shared" ref="S385:S425" si="31">+Q385+R385</f>
        <v>1568.39</v>
      </c>
    </row>
    <row r="386" spans="1:19" x14ac:dyDescent="0.25">
      <c r="A386" s="116" t="s">
        <v>1821</v>
      </c>
      <c r="B386" s="116" t="s">
        <v>1822</v>
      </c>
      <c r="C386" s="117">
        <v>262</v>
      </c>
      <c r="D386" s="91" t="s">
        <v>1823</v>
      </c>
      <c r="E386" s="91" t="s">
        <v>19</v>
      </c>
      <c r="F386" s="121">
        <v>41593</v>
      </c>
      <c r="G386" s="118">
        <f>423.03</f>
        <v>423.03</v>
      </c>
      <c r="H386" s="72"/>
      <c r="I386" s="72"/>
      <c r="J386" s="72"/>
      <c r="K386" s="72"/>
      <c r="L386" s="72"/>
      <c r="M386" s="72"/>
      <c r="N386" s="72"/>
      <c r="O386" s="72"/>
      <c r="P386" s="72"/>
      <c r="Q386" s="63">
        <f t="shared" si="29"/>
        <v>1557.5</v>
      </c>
      <c r="R386" s="72">
        <f t="shared" si="30"/>
        <v>0</v>
      </c>
      <c r="S386" s="63">
        <f t="shared" si="31"/>
        <v>1557.5</v>
      </c>
    </row>
    <row r="387" spans="1:19" x14ac:dyDescent="0.25">
      <c r="A387" s="116" t="s">
        <v>1824</v>
      </c>
      <c r="B387" s="116" t="s">
        <v>1825</v>
      </c>
      <c r="C387" s="117">
        <v>263</v>
      </c>
      <c r="D387" s="91" t="s">
        <v>1826</v>
      </c>
      <c r="E387" s="91" t="s">
        <v>19</v>
      </c>
      <c r="F387" s="121">
        <v>41593</v>
      </c>
      <c r="G387" s="118">
        <f>212.28</f>
        <v>212.28</v>
      </c>
      <c r="H387" s="72"/>
      <c r="I387" s="72"/>
      <c r="J387" s="72"/>
      <c r="K387" s="72"/>
      <c r="L387" s="72"/>
      <c r="M387" s="72"/>
      <c r="N387" s="72"/>
      <c r="O387" s="72"/>
      <c r="P387" s="72"/>
      <c r="Q387" s="63">
        <f t="shared" si="29"/>
        <v>423.03</v>
      </c>
      <c r="R387" s="72">
        <f t="shared" si="30"/>
        <v>0</v>
      </c>
      <c r="S387" s="63">
        <f t="shared" si="31"/>
        <v>423.03</v>
      </c>
    </row>
    <row r="388" spans="1:19" x14ac:dyDescent="0.25">
      <c r="A388" s="116" t="s">
        <v>1827</v>
      </c>
      <c r="B388" s="116" t="s">
        <v>1828</v>
      </c>
      <c r="C388" s="117">
        <v>264</v>
      </c>
      <c r="D388" s="91" t="s">
        <v>1829</v>
      </c>
      <c r="E388" s="91" t="s">
        <v>19</v>
      </c>
      <c r="F388" s="121">
        <v>41473</v>
      </c>
      <c r="G388" s="118">
        <f>650+47.2+687.41</f>
        <v>1384.6100000000001</v>
      </c>
      <c r="H388" s="72"/>
      <c r="I388" s="72"/>
      <c r="J388" s="72"/>
      <c r="K388" s="72"/>
      <c r="L388" s="72"/>
      <c r="M388" s="72"/>
      <c r="N388" s="72"/>
      <c r="O388" s="72"/>
      <c r="P388" s="72"/>
      <c r="Q388" s="63">
        <f t="shared" si="29"/>
        <v>212.28</v>
      </c>
      <c r="R388" s="72">
        <f t="shared" si="30"/>
        <v>0</v>
      </c>
      <c r="S388" s="63">
        <f t="shared" si="31"/>
        <v>212.28</v>
      </c>
    </row>
    <row r="389" spans="1:19" x14ac:dyDescent="0.25">
      <c r="A389" s="116" t="s">
        <v>1830</v>
      </c>
      <c r="B389" s="116" t="s">
        <v>1831</v>
      </c>
      <c r="C389" s="117">
        <v>265</v>
      </c>
      <c r="D389" s="91" t="s">
        <v>1832</v>
      </c>
      <c r="E389" s="91" t="s">
        <v>19</v>
      </c>
      <c r="F389" s="121">
        <v>41479</v>
      </c>
      <c r="G389" s="118">
        <f>183.37</f>
        <v>183.37</v>
      </c>
      <c r="H389" s="72"/>
      <c r="I389" s="72"/>
      <c r="J389" s="72"/>
      <c r="K389" s="72"/>
      <c r="L389" s="72"/>
      <c r="M389" s="72"/>
      <c r="N389" s="72"/>
      <c r="O389" s="72"/>
      <c r="P389" s="72"/>
      <c r="Q389" s="63">
        <f t="shared" si="29"/>
        <v>1384.6100000000001</v>
      </c>
      <c r="R389" s="72">
        <f t="shared" si="30"/>
        <v>0</v>
      </c>
      <c r="S389" s="63">
        <f t="shared" si="31"/>
        <v>1384.6100000000001</v>
      </c>
    </row>
    <row r="390" spans="1:19" x14ac:dyDescent="0.25">
      <c r="A390" s="116" t="s">
        <v>1830</v>
      </c>
      <c r="B390" s="116" t="s">
        <v>1831</v>
      </c>
      <c r="C390" s="117">
        <v>265</v>
      </c>
      <c r="D390" s="91" t="s">
        <v>1833</v>
      </c>
      <c r="E390" s="91" t="s">
        <v>19</v>
      </c>
      <c r="F390" s="121">
        <v>41479</v>
      </c>
      <c r="G390" s="118">
        <f>201.78</f>
        <v>201.78</v>
      </c>
      <c r="H390" s="72"/>
      <c r="I390" s="72"/>
      <c r="J390" s="72"/>
      <c r="K390" s="72"/>
      <c r="L390" s="72"/>
      <c r="M390" s="72"/>
      <c r="N390" s="72"/>
      <c r="O390" s="72"/>
      <c r="P390" s="72"/>
      <c r="Q390" s="63">
        <f t="shared" si="29"/>
        <v>183.37</v>
      </c>
      <c r="R390" s="72">
        <f t="shared" si="30"/>
        <v>0</v>
      </c>
      <c r="S390" s="63">
        <f t="shared" si="31"/>
        <v>183.37</v>
      </c>
    </row>
    <row r="391" spans="1:19" x14ac:dyDescent="0.25">
      <c r="A391" s="116" t="s">
        <v>1834</v>
      </c>
      <c r="B391" s="116" t="s">
        <v>1835</v>
      </c>
      <c r="C391" s="117">
        <v>266</v>
      </c>
      <c r="D391" s="91" t="s">
        <v>1836</v>
      </c>
      <c r="E391" s="91" t="s">
        <v>19</v>
      </c>
      <c r="F391" s="121">
        <v>41471</v>
      </c>
      <c r="G391" s="118">
        <f>226.6</f>
        <v>226.6</v>
      </c>
      <c r="H391" s="72"/>
      <c r="I391" s="72"/>
      <c r="J391" s="72"/>
      <c r="K391" s="72"/>
      <c r="L391" s="72"/>
      <c r="M391" s="72"/>
      <c r="N391" s="72"/>
      <c r="O391" s="72"/>
      <c r="P391" s="72"/>
      <c r="Q391" s="63">
        <f t="shared" si="29"/>
        <v>201.78</v>
      </c>
      <c r="R391" s="72">
        <f t="shared" si="30"/>
        <v>0</v>
      </c>
      <c r="S391" s="63">
        <f t="shared" si="31"/>
        <v>201.78</v>
      </c>
    </row>
    <row r="392" spans="1:19" x14ac:dyDescent="0.25">
      <c r="A392" s="116" t="s">
        <v>1837</v>
      </c>
      <c r="B392" s="116" t="s">
        <v>1838</v>
      </c>
      <c r="C392" s="117">
        <v>267</v>
      </c>
      <c r="D392" s="91" t="s">
        <v>1839</v>
      </c>
      <c r="E392" s="91" t="s">
        <v>19</v>
      </c>
      <c r="F392" s="121">
        <v>41471</v>
      </c>
      <c r="G392" s="118">
        <f>118.9</f>
        <v>118.9</v>
      </c>
      <c r="H392" s="72"/>
      <c r="I392" s="72"/>
      <c r="J392" s="72"/>
      <c r="K392" s="72"/>
      <c r="L392" s="72"/>
      <c r="M392" s="72"/>
      <c r="N392" s="72"/>
      <c r="O392" s="72"/>
      <c r="P392" s="72"/>
      <c r="Q392" s="63">
        <f t="shared" si="29"/>
        <v>226.6</v>
      </c>
      <c r="R392" s="72">
        <f t="shared" si="30"/>
        <v>0</v>
      </c>
      <c r="S392" s="63">
        <f t="shared" si="31"/>
        <v>226.6</v>
      </c>
    </row>
    <row r="393" spans="1:19" x14ac:dyDescent="0.25">
      <c r="A393" s="116" t="s">
        <v>1840</v>
      </c>
      <c r="B393" s="116" t="s">
        <v>1841</v>
      </c>
      <c r="C393" s="117">
        <v>268</v>
      </c>
      <c r="D393" s="91" t="s">
        <v>1842</v>
      </c>
      <c r="E393" s="91" t="s">
        <v>19</v>
      </c>
      <c r="F393" s="121">
        <v>41471</v>
      </c>
      <c r="G393" s="118">
        <v>106.9</v>
      </c>
      <c r="H393" s="72"/>
      <c r="I393" s="72"/>
      <c r="J393" s="72"/>
      <c r="K393" s="72"/>
      <c r="L393" s="72"/>
      <c r="M393" s="72"/>
      <c r="N393" s="72"/>
      <c r="O393" s="72"/>
      <c r="P393" s="72"/>
      <c r="Q393" s="63">
        <f t="shared" si="29"/>
        <v>118.9</v>
      </c>
      <c r="R393" s="72">
        <f t="shared" si="30"/>
        <v>0</v>
      </c>
      <c r="S393" s="63">
        <f t="shared" si="31"/>
        <v>118.9</v>
      </c>
    </row>
    <row r="394" spans="1:19" x14ac:dyDescent="0.25">
      <c r="A394" s="116" t="s">
        <v>1840</v>
      </c>
      <c r="B394" s="116" t="s">
        <v>1841</v>
      </c>
      <c r="C394" s="117">
        <v>268</v>
      </c>
      <c r="D394" s="91" t="s">
        <v>1843</v>
      </c>
      <c r="E394" s="91" t="s">
        <v>19</v>
      </c>
      <c r="F394" s="121">
        <v>41471</v>
      </c>
      <c r="G394" s="118">
        <f>48</f>
        <v>48</v>
      </c>
      <c r="H394" s="72"/>
      <c r="I394" s="72"/>
      <c r="J394" s="72"/>
      <c r="K394" s="72"/>
      <c r="L394" s="72"/>
      <c r="M394" s="72"/>
      <c r="N394" s="72"/>
      <c r="O394" s="72"/>
      <c r="P394" s="72"/>
      <c r="Q394" s="63">
        <f t="shared" si="29"/>
        <v>106.9</v>
      </c>
      <c r="R394" s="72">
        <f t="shared" si="30"/>
        <v>0</v>
      </c>
      <c r="S394" s="63">
        <f t="shared" si="31"/>
        <v>106.9</v>
      </c>
    </row>
    <row r="395" spans="1:19" x14ac:dyDescent="0.25">
      <c r="A395" s="116" t="s">
        <v>1840</v>
      </c>
      <c r="B395" s="116" t="s">
        <v>1841</v>
      </c>
      <c r="C395" s="117">
        <v>268</v>
      </c>
      <c r="D395" s="91" t="s">
        <v>1844</v>
      </c>
      <c r="E395" s="91" t="s">
        <v>19</v>
      </c>
      <c r="F395" s="121">
        <v>41471</v>
      </c>
      <c r="G395" s="118">
        <f>115.4</f>
        <v>115.4</v>
      </c>
      <c r="H395" s="72"/>
      <c r="I395" s="72"/>
      <c r="J395" s="72"/>
      <c r="K395" s="72"/>
      <c r="L395" s="72"/>
      <c r="M395" s="72"/>
      <c r="N395" s="72"/>
      <c r="O395" s="72"/>
      <c r="P395" s="72"/>
      <c r="Q395" s="63">
        <f t="shared" si="29"/>
        <v>48</v>
      </c>
      <c r="R395" s="72">
        <f t="shared" si="30"/>
        <v>0</v>
      </c>
      <c r="S395" s="63">
        <f t="shared" si="31"/>
        <v>48</v>
      </c>
    </row>
    <row r="396" spans="1:19" x14ac:dyDescent="0.25">
      <c r="A396" s="116" t="s">
        <v>1845</v>
      </c>
      <c r="B396" s="116" t="s">
        <v>1846</v>
      </c>
      <c r="C396" s="117">
        <v>269</v>
      </c>
      <c r="D396" s="91" t="s">
        <v>1847</v>
      </c>
      <c r="E396" s="91" t="s">
        <v>19</v>
      </c>
      <c r="F396" s="121">
        <v>41471</v>
      </c>
      <c r="G396" s="118">
        <f>75</f>
        <v>75</v>
      </c>
      <c r="H396" s="72"/>
      <c r="I396" s="72"/>
      <c r="J396" s="72"/>
      <c r="K396" s="72"/>
      <c r="L396" s="72"/>
      <c r="M396" s="72"/>
      <c r="N396" s="72"/>
      <c r="O396" s="72"/>
      <c r="P396" s="72"/>
      <c r="Q396" s="63">
        <f t="shared" si="29"/>
        <v>115.4</v>
      </c>
      <c r="R396" s="72">
        <f t="shared" si="30"/>
        <v>0</v>
      </c>
      <c r="S396" s="63">
        <f t="shared" si="31"/>
        <v>115.4</v>
      </c>
    </row>
    <row r="397" spans="1:19" x14ac:dyDescent="0.25">
      <c r="A397" s="116" t="s">
        <v>1848</v>
      </c>
      <c r="B397" s="116" t="s">
        <v>1849</v>
      </c>
      <c r="C397" s="117">
        <v>270</v>
      </c>
      <c r="D397" s="91" t="s">
        <v>1850</v>
      </c>
      <c r="E397" s="91" t="s">
        <v>19</v>
      </c>
      <c r="F397" s="121">
        <v>41471</v>
      </c>
      <c r="G397" s="118">
        <f>127.9</f>
        <v>127.9</v>
      </c>
      <c r="H397" s="72"/>
      <c r="I397" s="72"/>
      <c r="J397" s="72"/>
      <c r="K397" s="72"/>
      <c r="L397" s="72"/>
      <c r="M397" s="72"/>
      <c r="N397" s="72"/>
      <c r="O397" s="72"/>
      <c r="P397" s="72"/>
      <c r="Q397" s="63">
        <f t="shared" si="29"/>
        <v>75</v>
      </c>
      <c r="R397" s="72">
        <f t="shared" si="30"/>
        <v>0</v>
      </c>
      <c r="S397" s="63">
        <f t="shared" si="31"/>
        <v>75</v>
      </c>
    </row>
    <row r="398" spans="1:19" x14ac:dyDescent="0.25">
      <c r="A398" s="116" t="s">
        <v>1851</v>
      </c>
      <c r="B398" s="116" t="s">
        <v>1852</v>
      </c>
      <c r="C398" s="117">
        <v>271</v>
      </c>
      <c r="D398" s="91" t="s">
        <v>1853</v>
      </c>
      <c r="E398" s="91" t="s">
        <v>19</v>
      </c>
      <c r="F398" s="121">
        <v>41471</v>
      </c>
      <c r="G398" s="118">
        <f>152.5</f>
        <v>152.5</v>
      </c>
      <c r="H398" s="72"/>
      <c r="I398" s="72"/>
      <c r="J398" s="72"/>
      <c r="K398" s="72"/>
      <c r="L398" s="72"/>
      <c r="M398" s="72"/>
      <c r="N398" s="72"/>
      <c r="O398" s="72"/>
      <c r="P398" s="72"/>
      <c r="Q398" s="63">
        <f t="shared" si="29"/>
        <v>127.9</v>
      </c>
      <c r="R398" s="72">
        <f t="shared" si="30"/>
        <v>0</v>
      </c>
      <c r="S398" s="63">
        <f t="shared" si="31"/>
        <v>127.9</v>
      </c>
    </row>
    <row r="399" spans="1:19" x14ac:dyDescent="0.25">
      <c r="A399" s="116" t="s">
        <v>1854</v>
      </c>
      <c r="B399" s="116" t="s">
        <v>1855</v>
      </c>
      <c r="C399" s="117">
        <v>272</v>
      </c>
      <c r="D399" s="91" t="s">
        <v>1856</v>
      </c>
      <c r="E399" s="91" t="s">
        <v>19</v>
      </c>
      <c r="F399" s="121">
        <v>41485</v>
      </c>
      <c r="G399" s="118">
        <f>471.07+131.46+77.05+78.19+41.3</f>
        <v>799.06999999999994</v>
      </c>
      <c r="H399" s="72"/>
      <c r="I399" s="72"/>
      <c r="J399" s="72"/>
      <c r="K399" s="72"/>
      <c r="L399" s="72"/>
      <c r="M399" s="72"/>
      <c r="N399" s="72"/>
      <c r="O399" s="72"/>
      <c r="P399" s="72"/>
      <c r="Q399" s="63">
        <f t="shared" si="29"/>
        <v>152.5</v>
      </c>
      <c r="R399" s="72">
        <f t="shared" si="30"/>
        <v>0</v>
      </c>
      <c r="S399" s="63">
        <f t="shared" si="31"/>
        <v>152.5</v>
      </c>
    </row>
    <row r="400" spans="1:19" x14ac:dyDescent="0.25">
      <c r="A400" s="116" t="s">
        <v>1857</v>
      </c>
      <c r="B400" s="116" t="s">
        <v>1858</v>
      </c>
      <c r="C400" s="117">
        <v>273</v>
      </c>
      <c r="D400" s="91" t="s">
        <v>1859</v>
      </c>
      <c r="E400" s="91" t="s">
        <v>19</v>
      </c>
      <c r="F400" s="121">
        <v>41479</v>
      </c>
      <c r="G400" s="118">
        <f>200.01</f>
        <v>200.01</v>
      </c>
      <c r="H400" s="72"/>
      <c r="I400" s="72"/>
      <c r="J400" s="72"/>
      <c r="K400" s="72"/>
      <c r="L400" s="72"/>
      <c r="M400" s="72"/>
      <c r="N400" s="72"/>
      <c r="O400" s="72"/>
      <c r="P400" s="72"/>
      <c r="Q400" s="63">
        <f t="shared" si="29"/>
        <v>799.06999999999994</v>
      </c>
      <c r="R400" s="72">
        <f t="shared" si="30"/>
        <v>0</v>
      </c>
      <c r="S400" s="63">
        <f t="shared" si="31"/>
        <v>799.06999999999994</v>
      </c>
    </row>
    <row r="401" spans="1:19" x14ac:dyDescent="0.25">
      <c r="A401" s="116" t="s">
        <v>1860</v>
      </c>
      <c r="B401" s="116" t="s">
        <v>1861</v>
      </c>
      <c r="C401" s="117">
        <v>274</v>
      </c>
      <c r="D401" s="91" t="s">
        <v>1862</v>
      </c>
      <c r="E401" s="91" t="s">
        <v>19</v>
      </c>
      <c r="F401" s="121">
        <v>41471</v>
      </c>
      <c r="G401" s="118">
        <f>48.5</f>
        <v>48.5</v>
      </c>
      <c r="H401" s="72"/>
      <c r="I401" s="72"/>
      <c r="J401" s="72"/>
      <c r="K401" s="72"/>
      <c r="L401" s="72"/>
      <c r="M401" s="72"/>
      <c r="N401" s="72"/>
      <c r="O401" s="72"/>
      <c r="P401" s="72"/>
      <c r="Q401" s="63">
        <f t="shared" si="29"/>
        <v>200.01</v>
      </c>
      <c r="R401" s="72">
        <f t="shared" si="30"/>
        <v>0</v>
      </c>
      <c r="S401" s="63">
        <f t="shared" si="31"/>
        <v>200.01</v>
      </c>
    </row>
    <row r="402" spans="1:19" x14ac:dyDescent="0.25">
      <c r="A402" s="116" t="s">
        <v>1863</v>
      </c>
      <c r="B402" s="116" t="s">
        <v>1864</v>
      </c>
      <c r="C402" s="117">
        <v>275</v>
      </c>
      <c r="D402" s="91" t="s">
        <v>1865</v>
      </c>
      <c r="E402" s="91" t="s">
        <v>19</v>
      </c>
      <c r="F402" s="121">
        <v>41471</v>
      </c>
      <c r="G402" s="118">
        <f>189.2</f>
        <v>189.2</v>
      </c>
      <c r="H402" s="72"/>
      <c r="I402" s="72"/>
      <c r="J402" s="72"/>
      <c r="K402" s="72"/>
      <c r="L402" s="72"/>
      <c r="M402" s="72"/>
      <c r="N402" s="72"/>
      <c r="O402" s="72"/>
      <c r="P402" s="72"/>
      <c r="Q402" s="63">
        <f t="shared" si="29"/>
        <v>48.5</v>
      </c>
      <c r="R402" s="72">
        <f t="shared" si="30"/>
        <v>0</v>
      </c>
      <c r="S402" s="63">
        <f t="shared" si="31"/>
        <v>48.5</v>
      </c>
    </row>
    <row r="403" spans="1:19" x14ac:dyDescent="0.25">
      <c r="A403" s="116" t="s">
        <v>1866</v>
      </c>
      <c r="B403" s="116" t="s">
        <v>1867</v>
      </c>
      <c r="C403" s="117">
        <v>276</v>
      </c>
      <c r="D403" s="91" t="s">
        <v>1868</v>
      </c>
      <c r="E403" s="91" t="s">
        <v>19</v>
      </c>
      <c r="F403" s="121">
        <v>41471</v>
      </c>
      <c r="G403" s="118">
        <v>175.4</v>
      </c>
      <c r="H403" s="72"/>
      <c r="I403" s="72"/>
      <c r="J403" s="72"/>
      <c r="K403" s="72"/>
      <c r="L403" s="72"/>
      <c r="M403" s="72"/>
      <c r="N403" s="72"/>
      <c r="O403" s="72"/>
      <c r="P403" s="72"/>
      <c r="Q403" s="63">
        <f t="shared" si="29"/>
        <v>189.2</v>
      </c>
      <c r="R403" s="72">
        <f t="shared" si="30"/>
        <v>0</v>
      </c>
      <c r="S403" s="63">
        <f t="shared" si="31"/>
        <v>189.2</v>
      </c>
    </row>
    <row r="404" spans="1:19" x14ac:dyDescent="0.25">
      <c r="A404" s="116" t="s">
        <v>1869</v>
      </c>
      <c r="B404" s="116" t="s">
        <v>1870</v>
      </c>
      <c r="C404" s="117">
        <v>277</v>
      </c>
      <c r="D404" s="91" t="s">
        <v>1871</v>
      </c>
      <c r="E404" s="91" t="s">
        <v>19</v>
      </c>
      <c r="F404" s="121">
        <v>41471</v>
      </c>
      <c r="G404" s="118">
        <f>280.9+71.2</f>
        <v>352.09999999999997</v>
      </c>
      <c r="H404" s="72"/>
      <c r="I404" s="72"/>
      <c r="J404" s="72"/>
      <c r="K404" s="72"/>
      <c r="L404" s="72"/>
      <c r="M404" s="72"/>
      <c r="N404" s="72"/>
      <c r="O404" s="72"/>
      <c r="P404" s="72"/>
      <c r="Q404" s="63">
        <f t="shared" si="29"/>
        <v>175.4</v>
      </c>
      <c r="R404" s="72">
        <f t="shared" si="30"/>
        <v>0</v>
      </c>
      <c r="S404" s="63">
        <f t="shared" si="31"/>
        <v>175.4</v>
      </c>
    </row>
    <row r="405" spans="1:19" x14ac:dyDescent="0.25">
      <c r="A405" s="116" t="s">
        <v>1869</v>
      </c>
      <c r="B405" s="116" t="s">
        <v>1870</v>
      </c>
      <c r="C405" s="117">
        <v>277</v>
      </c>
      <c r="D405" s="91" t="s">
        <v>1872</v>
      </c>
      <c r="E405" s="91" t="s">
        <v>19</v>
      </c>
      <c r="F405" s="121">
        <v>41471</v>
      </c>
      <c r="G405" s="118">
        <f>341.1</f>
        <v>341.1</v>
      </c>
      <c r="H405" s="72"/>
      <c r="I405" s="72"/>
      <c r="J405" s="72"/>
      <c r="K405" s="72"/>
      <c r="L405" s="72"/>
      <c r="M405" s="72"/>
      <c r="N405" s="72"/>
      <c r="O405" s="72"/>
      <c r="P405" s="72"/>
      <c r="Q405" s="63">
        <f t="shared" si="29"/>
        <v>352.09999999999997</v>
      </c>
      <c r="R405" s="72">
        <f t="shared" si="30"/>
        <v>0</v>
      </c>
      <c r="S405" s="63">
        <f t="shared" si="31"/>
        <v>352.09999999999997</v>
      </c>
    </row>
    <row r="406" spans="1:19" x14ac:dyDescent="0.25">
      <c r="A406" s="116" t="s">
        <v>1869</v>
      </c>
      <c r="B406" s="116" t="s">
        <v>1870</v>
      </c>
      <c r="C406" s="117">
        <v>277</v>
      </c>
      <c r="D406" s="91" t="s">
        <v>1873</v>
      </c>
      <c r="E406" s="91" t="s">
        <v>19</v>
      </c>
      <c r="F406" s="121">
        <v>41471</v>
      </c>
      <c r="G406" s="118">
        <f>119.3</f>
        <v>119.3</v>
      </c>
      <c r="H406" s="72"/>
      <c r="I406" s="72"/>
      <c r="J406" s="72"/>
      <c r="K406" s="72"/>
      <c r="L406" s="72"/>
      <c r="M406" s="72"/>
      <c r="N406" s="72"/>
      <c r="O406" s="72"/>
      <c r="P406" s="72"/>
      <c r="Q406" s="63">
        <f t="shared" si="29"/>
        <v>341.1</v>
      </c>
      <c r="R406" s="72">
        <f t="shared" si="30"/>
        <v>0</v>
      </c>
      <c r="S406" s="63">
        <f t="shared" si="31"/>
        <v>341.1</v>
      </c>
    </row>
    <row r="407" spans="1:19" x14ac:dyDescent="0.25">
      <c r="A407" s="116" t="s">
        <v>1874</v>
      </c>
      <c r="B407" s="116" t="s">
        <v>1875</v>
      </c>
      <c r="C407" s="117">
        <v>278</v>
      </c>
      <c r="D407" s="91" t="s">
        <v>1876</v>
      </c>
      <c r="E407" s="91" t="s">
        <v>19</v>
      </c>
      <c r="F407" s="121">
        <v>41627</v>
      </c>
      <c r="G407" s="77">
        <v>484.21</v>
      </c>
      <c r="H407" s="72"/>
      <c r="I407" s="72"/>
      <c r="J407" s="72"/>
      <c r="K407" s="72"/>
      <c r="L407" s="72"/>
      <c r="M407" s="72"/>
      <c r="N407" s="72"/>
      <c r="O407" s="72"/>
      <c r="P407" s="72"/>
      <c r="Q407" s="63">
        <f t="shared" si="29"/>
        <v>119.3</v>
      </c>
      <c r="R407" s="72">
        <f t="shared" si="30"/>
        <v>0</v>
      </c>
      <c r="S407" s="63">
        <f t="shared" si="31"/>
        <v>119.3</v>
      </c>
    </row>
    <row r="408" spans="1:19" x14ac:dyDescent="0.25">
      <c r="A408" s="116" t="s">
        <v>1874</v>
      </c>
      <c r="B408" s="116" t="s">
        <v>1875</v>
      </c>
      <c r="C408" s="117">
        <v>278</v>
      </c>
      <c r="D408" s="91" t="s">
        <v>1877</v>
      </c>
      <c r="E408" s="91" t="s">
        <v>19</v>
      </c>
      <c r="F408" s="121">
        <v>41627</v>
      </c>
      <c r="G408" s="118">
        <v>430.88</v>
      </c>
      <c r="H408" s="72"/>
      <c r="I408" s="72"/>
      <c r="J408" s="72"/>
      <c r="K408" s="72"/>
      <c r="L408" s="72"/>
      <c r="M408" s="72"/>
      <c r="N408" s="72"/>
      <c r="O408" s="72"/>
      <c r="P408" s="72"/>
      <c r="Q408" s="63">
        <f t="shared" si="29"/>
        <v>484.21</v>
      </c>
      <c r="R408" s="72">
        <f t="shared" si="30"/>
        <v>0</v>
      </c>
      <c r="S408" s="63">
        <f t="shared" si="31"/>
        <v>484.21</v>
      </c>
    </row>
    <row r="409" spans="1:19" x14ac:dyDescent="0.25">
      <c r="A409" s="116" t="s">
        <v>1874</v>
      </c>
      <c r="B409" s="116" t="s">
        <v>1875</v>
      </c>
      <c r="C409" s="117">
        <v>278</v>
      </c>
      <c r="D409" s="91" t="s">
        <v>1878</v>
      </c>
      <c r="E409" s="91" t="s">
        <v>19</v>
      </c>
      <c r="F409" s="121">
        <v>41627</v>
      </c>
      <c r="G409" s="118">
        <f>354</f>
        <v>354</v>
      </c>
      <c r="H409" s="72"/>
      <c r="I409" s="72"/>
      <c r="J409" s="72"/>
      <c r="K409" s="72"/>
      <c r="L409" s="72"/>
      <c r="M409" s="72"/>
      <c r="N409" s="72"/>
      <c r="O409" s="72"/>
      <c r="P409" s="72"/>
      <c r="Q409" s="63">
        <f t="shared" si="29"/>
        <v>430.88</v>
      </c>
      <c r="R409" s="72">
        <f t="shared" si="30"/>
        <v>0</v>
      </c>
      <c r="S409" s="63">
        <f t="shared" si="31"/>
        <v>430.88</v>
      </c>
    </row>
    <row r="410" spans="1:19" x14ac:dyDescent="0.25">
      <c r="A410" s="116" t="s">
        <v>1879</v>
      </c>
      <c r="B410" s="116" t="s">
        <v>1880</v>
      </c>
      <c r="C410" s="117">
        <v>279</v>
      </c>
      <c r="D410" s="91" t="s">
        <v>1881</v>
      </c>
      <c r="E410" s="91" t="s">
        <v>19</v>
      </c>
      <c r="F410" s="121">
        <v>41535</v>
      </c>
      <c r="G410" s="118">
        <f>167.25+145.63+2581.56</f>
        <v>2894.44</v>
      </c>
      <c r="H410" s="72"/>
      <c r="I410" s="72"/>
      <c r="J410" s="72"/>
      <c r="K410" s="72"/>
      <c r="L410" s="72"/>
      <c r="M410" s="72"/>
      <c r="N410" s="72"/>
      <c r="O410" s="72"/>
      <c r="P410" s="72"/>
      <c r="Q410" s="63">
        <f t="shared" si="29"/>
        <v>354</v>
      </c>
      <c r="R410" s="72">
        <f t="shared" si="30"/>
        <v>0</v>
      </c>
      <c r="S410" s="63">
        <f t="shared" si="31"/>
        <v>354</v>
      </c>
    </row>
    <row r="411" spans="1:19" x14ac:dyDescent="0.25">
      <c r="A411" s="116" t="s">
        <v>1882</v>
      </c>
      <c r="B411" s="116" t="s">
        <v>1883</v>
      </c>
      <c r="C411" s="117">
        <v>280</v>
      </c>
      <c r="D411" s="91" t="s">
        <v>1884</v>
      </c>
      <c r="E411" s="91" t="s">
        <v>19</v>
      </c>
      <c r="F411" s="121">
        <v>41498</v>
      </c>
      <c r="G411" s="118">
        <f>148.82+93.77+92.75+348.1+64.9</f>
        <v>748.34</v>
      </c>
      <c r="H411" s="72"/>
      <c r="I411" s="120">
        <v>1500</v>
      </c>
      <c r="J411" s="72"/>
      <c r="K411" s="72"/>
      <c r="L411" s="72"/>
      <c r="M411" s="72"/>
      <c r="N411" s="72"/>
      <c r="O411" s="72"/>
      <c r="P411" s="72"/>
      <c r="Q411" s="63">
        <f t="shared" si="29"/>
        <v>4394.4400000000005</v>
      </c>
      <c r="R411" s="72">
        <f t="shared" si="30"/>
        <v>0</v>
      </c>
      <c r="S411" s="63">
        <f t="shared" si="31"/>
        <v>4394.4400000000005</v>
      </c>
    </row>
    <row r="412" spans="1:19" x14ac:dyDescent="0.25">
      <c r="A412" s="116" t="s">
        <v>1882</v>
      </c>
      <c r="B412" s="116" t="s">
        <v>1883</v>
      </c>
      <c r="C412" s="117">
        <v>280</v>
      </c>
      <c r="D412" s="91" t="s">
        <v>1885</v>
      </c>
      <c r="E412" s="91" t="s">
        <v>19</v>
      </c>
      <c r="F412" s="121">
        <v>41498</v>
      </c>
      <c r="G412" s="118">
        <v>130.28</v>
      </c>
      <c r="H412" s="72"/>
      <c r="I412" s="72"/>
      <c r="J412" s="72"/>
      <c r="K412" s="72"/>
      <c r="L412" s="72"/>
      <c r="M412" s="72"/>
      <c r="N412" s="72"/>
      <c r="O412" s="72"/>
      <c r="P412" s="72"/>
      <c r="Q412" s="63">
        <f t="shared" si="29"/>
        <v>748.34</v>
      </c>
      <c r="R412" s="72">
        <f t="shared" si="30"/>
        <v>0</v>
      </c>
      <c r="S412" s="63">
        <f t="shared" si="31"/>
        <v>748.34</v>
      </c>
    </row>
    <row r="413" spans="1:19" x14ac:dyDescent="0.25">
      <c r="A413" s="116" t="s">
        <v>1886</v>
      </c>
      <c r="B413" s="116" t="s">
        <v>1887</v>
      </c>
      <c r="C413" s="117">
        <v>281</v>
      </c>
      <c r="D413" s="91" t="s">
        <v>1888</v>
      </c>
      <c r="E413" s="91" t="s">
        <v>19</v>
      </c>
      <c r="F413" s="121">
        <v>41537</v>
      </c>
      <c r="G413" s="118">
        <f>158.92</f>
        <v>158.91999999999999</v>
      </c>
      <c r="H413" s="72"/>
      <c r="I413" s="72"/>
      <c r="J413" s="72"/>
      <c r="K413" s="72"/>
      <c r="L413" s="72"/>
      <c r="M413" s="72"/>
      <c r="N413" s="72"/>
      <c r="O413" s="72"/>
      <c r="P413" s="72"/>
      <c r="Q413" s="63">
        <f t="shared" si="29"/>
        <v>130.28</v>
      </c>
      <c r="R413" s="72">
        <f t="shared" si="30"/>
        <v>0</v>
      </c>
      <c r="S413" s="63">
        <f t="shared" si="31"/>
        <v>130.28</v>
      </c>
    </row>
    <row r="414" spans="1:19" x14ac:dyDescent="0.25">
      <c r="A414" s="116" t="s">
        <v>1886</v>
      </c>
      <c r="B414" s="116" t="s">
        <v>1887</v>
      </c>
      <c r="C414" s="117">
        <v>281</v>
      </c>
      <c r="D414" s="91" t="s">
        <v>1889</v>
      </c>
      <c r="E414" s="91" t="s">
        <v>19</v>
      </c>
      <c r="F414" s="121">
        <v>41537</v>
      </c>
      <c r="G414" s="118">
        <v>168.76</v>
      </c>
      <c r="H414" s="72"/>
      <c r="I414" s="72"/>
      <c r="J414" s="72"/>
      <c r="K414" s="72"/>
      <c r="L414" s="72"/>
      <c r="M414" s="72"/>
      <c r="N414" s="72"/>
      <c r="O414" s="72"/>
      <c r="P414" s="72"/>
      <c r="Q414" s="63">
        <f t="shared" si="29"/>
        <v>158.91999999999999</v>
      </c>
      <c r="R414" s="72">
        <f t="shared" si="30"/>
        <v>0</v>
      </c>
      <c r="S414" s="63">
        <f t="shared" si="31"/>
        <v>158.91999999999999</v>
      </c>
    </row>
    <row r="415" spans="1:19" x14ac:dyDescent="0.25">
      <c r="A415" s="116" t="s">
        <v>1890</v>
      </c>
      <c r="B415" s="116" t="s">
        <v>1891</v>
      </c>
      <c r="C415" s="117">
        <v>282</v>
      </c>
      <c r="D415" s="91" t="s">
        <v>1892</v>
      </c>
      <c r="E415" s="91" t="s">
        <v>19</v>
      </c>
      <c r="F415" s="121">
        <v>41537</v>
      </c>
      <c r="G415" s="118">
        <v>127</v>
      </c>
      <c r="H415" s="72"/>
      <c r="I415" s="72"/>
      <c r="J415" s="72"/>
      <c r="K415" s="72"/>
      <c r="L415" s="72"/>
      <c r="M415" s="72"/>
      <c r="N415" s="72"/>
      <c r="O415" s="72"/>
      <c r="P415" s="72"/>
      <c r="Q415" s="63">
        <f t="shared" si="29"/>
        <v>168.76</v>
      </c>
      <c r="R415" s="72">
        <f t="shared" si="30"/>
        <v>0</v>
      </c>
      <c r="S415" s="63">
        <f t="shared" si="31"/>
        <v>168.76</v>
      </c>
    </row>
    <row r="416" spans="1:19" x14ac:dyDescent="0.25">
      <c r="A416" s="116" t="s">
        <v>1890</v>
      </c>
      <c r="B416" s="116" t="s">
        <v>1891</v>
      </c>
      <c r="C416" s="117">
        <v>282</v>
      </c>
      <c r="D416" s="91" t="s">
        <v>1893</v>
      </c>
      <c r="E416" s="91" t="s">
        <v>19</v>
      </c>
      <c r="F416" s="121">
        <v>41743</v>
      </c>
      <c r="G416" s="77">
        <f>99.5</f>
        <v>99.5</v>
      </c>
      <c r="H416" s="72"/>
      <c r="I416" s="72"/>
      <c r="J416" s="72"/>
      <c r="K416" s="72"/>
      <c r="L416" s="72"/>
      <c r="M416" s="72"/>
      <c r="N416" s="72"/>
      <c r="O416" s="72"/>
      <c r="P416" s="72"/>
      <c r="Q416" s="63">
        <f t="shared" si="29"/>
        <v>127</v>
      </c>
      <c r="R416" s="72">
        <f t="shared" si="30"/>
        <v>0</v>
      </c>
      <c r="S416" s="63">
        <f t="shared" si="31"/>
        <v>127</v>
      </c>
    </row>
    <row r="417" spans="1:19" x14ac:dyDescent="0.25">
      <c r="A417" s="116" t="s">
        <v>1894</v>
      </c>
      <c r="B417" s="116" t="s">
        <v>1895</v>
      </c>
      <c r="C417" s="117">
        <v>283</v>
      </c>
      <c r="D417" s="91" t="s">
        <v>1896</v>
      </c>
      <c r="E417" s="91" t="s">
        <v>19</v>
      </c>
      <c r="F417" s="121">
        <v>41743</v>
      </c>
      <c r="G417" s="118">
        <f>121.66</f>
        <v>121.66</v>
      </c>
      <c r="H417" s="72"/>
      <c r="I417" s="72"/>
      <c r="J417" s="72"/>
      <c r="K417" s="72"/>
      <c r="L417" s="72"/>
      <c r="M417" s="72"/>
      <c r="N417" s="72"/>
      <c r="O417" s="72"/>
      <c r="P417" s="72"/>
      <c r="Q417" s="63">
        <f t="shared" si="29"/>
        <v>99.5</v>
      </c>
      <c r="R417" s="72">
        <f t="shared" si="30"/>
        <v>0</v>
      </c>
      <c r="S417" s="63">
        <f t="shared" si="31"/>
        <v>99.5</v>
      </c>
    </row>
    <row r="418" spans="1:19" x14ac:dyDescent="0.25">
      <c r="A418" s="116" t="s">
        <v>1894</v>
      </c>
      <c r="B418" s="116" t="s">
        <v>1895</v>
      </c>
      <c r="C418" s="117">
        <v>283</v>
      </c>
      <c r="D418" s="91" t="s">
        <v>1897</v>
      </c>
      <c r="E418" s="91" t="s">
        <v>19</v>
      </c>
      <c r="F418" s="121">
        <v>41743</v>
      </c>
      <c r="G418" s="118">
        <f>114.08</f>
        <v>114.08</v>
      </c>
      <c r="H418" s="72"/>
      <c r="I418" s="72"/>
      <c r="J418" s="72"/>
      <c r="K418" s="72"/>
      <c r="L418" s="72"/>
      <c r="M418" s="72"/>
      <c r="N418" s="72"/>
      <c r="O418" s="72"/>
      <c r="P418" s="72"/>
      <c r="Q418" s="63">
        <f t="shared" si="29"/>
        <v>121.66</v>
      </c>
      <c r="R418" s="72">
        <f t="shared" si="30"/>
        <v>0</v>
      </c>
      <c r="S418" s="63">
        <f t="shared" si="31"/>
        <v>121.66</v>
      </c>
    </row>
    <row r="419" spans="1:19" x14ac:dyDescent="0.25">
      <c r="A419" s="116" t="s">
        <v>1894</v>
      </c>
      <c r="B419" s="116" t="s">
        <v>1895</v>
      </c>
      <c r="C419" s="117">
        <v>283</v>
      </c>
      <c r="D419" s="91" t="s">
        <v>4065</v>
      </c>
      <c r="E419" s="91" t="s">
        <v>19</v>
      </c>
      <c r="F419" s="121">
        <v>41743</v>
      </c>
      <c r="G419" s="118">
        <f>115.84</f>
        <v>115.84</v>
      </c>
      <c r="H419" s="72"/>
      <c r="I419" s="72"/>
      <c r="J419" s="72"/>
      <c r="K419" s="72"/>
      <c r="L419" s="72"/>
      <c r="M419" s="72"/>
      <c r="N419" s="72"/>
      <c r="O419" s="72"/>
      <c r="P419" s="72"/>
      <c r="Q419" s="63">
        <f t="shared" si="29"/>
        <v>114.08</v>
      </c>
      <c r="R419" s="72">
        <f t="shared" si="30"/>
        <v>0</v>
      </c>
      <c r="S419" s="63">
        <f t="shared" si="31"/>
        <v>114.08</v>
      </c>
    </row>
    <row r="420" spans="1:19" x14ac:dyDescent="0.25">
      <c r="A420" s="116" t="s">
        <v>1894</v>
      </c>
      <c r="B420" s="116" t="s">
        <v>1895</v>
      </c>
      <c r="C420" s="117">
        <v>283</v>
      </c>
      <c r="D420" s="91" t="s">
        <v>4066</v>
      </c>
      <c r="E420" s="91" t="s">
        <v>19</v>
      </c>
      <c r="F420" s="121">
        <v>41743</v>
      </c>
      <c r="G420" s="118">
        <f>127.46</f>
        <v>127.46</v>
      </c>
      <c r="H420" s="72"/>
      <c r="I420" s="72"/>
      <c r="J420" s="72"/>
      <c r="K420" s="72"/>
      <c r="L420" s="72"/>
      <c r="M420" s="72"/>
      <c r="N420" s="72"/>
      <c r="O420" s="72"/>
      <c r="P420" s="72"/>
      <c r="Q420" s="63">
        <f t="shared" si="29"/>
        <v>115.84</v>
      </c>
      <c r="R420" s="72">
        <f t="shared" si="30"/>
        <v>0</v>
      </c>
      <c r="S420" s="63">
        <f t="shared" si="31"/>
        <v>115.84</v>
      </c>
    </row>
    <row r="421" spans="1:19" x14ac:dyDescent="0.25">
      <c r="A421" s="116" t="s">
        <v>1894</v>
      </c>
      <c r="B421" s="116" t="s">
        <v>1895</v>
      </c>
      <c r="C421" s="117">
        <v>283</v>
      </c>
      <c r="D421" s="91" t="s">
        <v>4067</v>
      </c>
      <c r="E421" s="91" t="s">
        <v>19</v>
      </c>
      <c r="F421" s="121">
        <v>41743</v>
      </c>
      <c r="G421" s="118">
        <f>62.76</f>
        <v>62.76</v>
      </c>
      <c r="H421" s="72"/>
      <c r="I421" s="72"/>
      <c r="J421" s="72"/>
      <c r="K421" s="72"/>
      <c r="L421" s="72"/>
      <c r="M421" s="72"/>
      <c r="N421" s="72"/>
      <c r="O421" s="72"/>
      <c r="P421" s="72"/>
      <c r="Q421" s="63">
        <f t="shared" si="29"/>
        <v>127.46</v>
      </c>
      <c r="R421" s="72">
        <f t="shared" si="30"/>
        <v>0</v>
      </c>
      <c r="S421" s="63">
        <f t="shared" si="31"/>
        <v>127.46</v>
      </c>
    </row>
    <row r="422" spans="1:19" x14ac:dyDescent="0.25">
      <c r="A422" s="116" t="s">
        <v>1898</v>
      </c>
      <c r="B422" s="116" t="s">
        <v>1899</v>
      </c>
      <c r="C422" s="117">
        <v>284</v>
      </c>
      <c r="D422" s="91" t="s">
        <v>1900</v>
      </c>
      <c r="E422" s="91" t="s">
        <v>19</v>
      </c>
      <c r="F422" s="121">
        <v>41473</v>
      </c>
      <c r="G422" s="118">
        <f>238+168.46+332.37+49.05+47.2+117.42+47.2+164.88+93.09+206.5</f>
        <v>1464.1699999999998</v>
      </c>
      <c r="H422" s="72"/>
      <c r="I422" s="120">
        <f>375+500</f>
        <v>875</v>
      </c>
      <c r="J422" s="72"/>
      <c r="K422" s="72"/>
      <c r="L422" s="72"/>
      <c r="M422" s="72"/>
      <c r="N422" s="72"/>
      <c r="O422" s="72"/>
      <c r="P422" s="72"/>
      <c r="Q422" s="63">
        <f t="shared" si="29"/>
        <v>937.76</v>
      </c>
      <c r="R422" s="72">
        <f t="shared" si="30"/>
        <v>0</v>
      </c>
      <c r="S422" s="63">
        <f t="shared" si="31"/>
        <v>937.76</v>
      </c>
    </row>
    <row r="423" spans="1:19" x14ac:dyDescent="0.25">
      <c r="A423" s="116" t="s">
        <v>1901</v>
      </c>
      <c r="B423" s="116" t="s">
        <v>1902</v>
      </c>
      <c r="C423" s="117">
        <v>285</v>
      </c>
      <c r="D423" s="91" t="s">
        <v>1903</v>
      </c>
      <c r="E423" s="91" t="s">
        <v>19</v>
      </c>
      <c r="F423" s="121">
        <v>41522</v>
      </c>
      <c r="G423" s="118">
        <f>372.18</f>
        <v>372.18</v>
      </c>
      <c r="H423" s="72"/>
      <c r="I423" s="72"/>
      <c r="J423" s="72"/>
      <c r="K423" s="72"/>
      <c r="L423" s="72"/>
      <c r="M423" s="72"/>
      <c r="N423" s="72"/>
      <c r="O423" s="72"/>
      <c r="P423" s="72"/>
      <c r="Q423" s="63">
        <f t="shared" si="29"/>
        <v>1464.1699999999998</v>
      </c>
      <c r="R423" s="72">
        <f t="shared" si="30"/>
        <v>0</v>
      </c>
      <c r="S423" s="63">
        <f t="shared" si="31"/>
        <v>1464.1699999999998</v>
      </c>
    </row>
    <row r="424" spans="1:19" x14ac:dyDescent="0.25">
      <c r="A424" s="116" t="s">
        <v>1904</v>
      </c>
      <c r="B424" s="116" t="s">
        <v>1905</v>
      </c>
      <c r="C424" s="117">
        <v>286</v>
      </c>
      <c r="D424" s="91" t="s">
        <v>1906</v>
      </c>
      <c r="E424" s="91" t="s">
        <v>19</v>
      </c>
      <c r="F424" s="121">
        <v>41564</v>
      </c>
      <c r="G424" s="118">
        <f>635.08</f>
        <v>635.08000000000004</v>
      </c>
      <c r="H424" s="72"/>
      <c r="I424" s="72"/>
      <c r="J424" s="72"/>
      <c r="K424" s="72"/>
      <c r="L424" s="72"/>
      <c r="M424" s="72"/>
      <c r="N424" s="72"/>
      <c r="O424" s="72"/>
      <c r="P424" s="72"/>
      <c r="Q424" s="63">
        <f t="shared" si="29"/>
        <v>372.18</v>
      </c>
      <c r="R424" s="72">
        <f t="shared" si="30"/>
        <v>0</v>
      </c>
      <c r="S424" s="63">
        <f t="shared" si="31"/>
        <v>372.18</v>
      </c>
    </row>
    <row r="425" spans="1:19" x14ac:dyDescent="0.25">
      <c r="A425" s="116" t="s">
        <v>1904</v>
      </c>
      <c r="B425" s="116" t="s">
        <v>1905</v>
      </c>
      <c r="C425" s="117">
        <v>286</v>
      </c>
      <c r="D425" s="91" t="s">
        <v>1907</v>
      </c>
      <c r="E425" s="91" t="s">
        <v>19</v>
      </c>
      <c r="F425" s="121">
        <v>41522</v>
      </c>
      <c r="G425" s="77"/>
      <c r="H425" s="72"/>
      <c r="I425" s="72"/>
      <c r="J425" s="72"/>
      <c r="K425" s="72"/>
      <c r="L425" s="72"/>
      <c r="M425" s="72"/>
      <c r="N425" s="72"/>
      <c r="O425" s="72"/>
      <c r="P425" s="72"/>
      <c r="Q425" s="63">
        <f t="shared" si="29"/>
        <v>635.08000000000004</v>
      </c>
      <c r="R425" s="72">
        <f t="shared" si="30"/>
        <v>0</v>
      </c>
      <c r="S425" s="63">
        <f t="shared" si="31"/>
        <v>635.08000000000004</v>
      </c>
    </row>
    <row r="426" spans="1:19" x14ac:dyDescent="0.25">
      <c r="A426" s="116" t="s">
        <v>1904</v>
      </c>
      <c r="B426" s="116" t="s">
        <v>1905</v>
      </c>
      <c r="C426" s="117">
        <v>286</v>
      </c>
      <c r="D426" s="91" t="s">
        <v>1908</v>
      </c>
      <c r="E426" s="91" t="s">
        <v>19</v>
      </c>
      <c r="F426" s="121">
        <v>41522</v>
      </c>
      <c r="G426" s="118"/>
      <c r="H426" s="72"/>
      <c r="I426" s="72"/>
      <c r="J426" s="72"/>
      <c r="K426" s="72"/>
      <c r="L426" s="72"/>
      <c r="M426" s="72"/>
      <c r="N426" s="72"/>
      <c r="O426" s="72"/>
      <c r="P426" s="72"/>
      <c r="Q426" s="63">
        <f t="shared" ref="Q426:R461" si="32">+G426+I426+K426+M426+O426</f>
        <v>0</v>
      </c>
      <c r="R426" s="72">
        <f t="shared" si="32"/>
        <v>0</v>
      </c>
      <c r="S426" s="63">
        <f t="shared" ref="S426:S461" si="33">+Q426+R426</f>
        <v>0</v>
      </c>
    </row>
    <row r="427" spans="1:19" x14ac:dyDescent="0.25">
      <c r="A427" s="116" t="s">
        <v>1904</v>
      </c>
      <c r="B427" s="116" t="s">
        <v>1905</v>
      </c>
      <c r="C427" s="117">
        <v>286</v>
      </c>
      <c r="D427" s="91" t="s">
        <v>1909</v>
      </c>
      <c r="E427" s="91" t="s">
        <v>19</v>
      </c>
      <c r="F427" s="121">
        <v>41522</v>
      </c>
      <c r="G427" s="118"/>
      <c r="H427" s="72"/>
      <c r="I427" s="72"/>
      <c r="J427" s="72"/>
      <c r="K427" s="72"/>
      <c r="L427" s="72"/>
      <c r="M427" s="72"/>
      <c r="N427" s="72"/>
      <c r="O427" s="72"/>
      <c r="P427" s="72"/>
      <c r="Q427" s="63">
        <f t="shared" si="32"/>
        <v>0</v>
      </c>
      <c r="R427" s="72">
        <f t="shared" si="32"/>
        <v>0</v>
      </c>
      <c r="S427" s="63">
        <f t="shared" si="33"/>
        <v>0</v>
      </c>
    </row>
    <row r="428" spans="1:19" x14ac:dyDescent="0.25">
      <c r="A428" s="116" t="s">
        <v>1910</v>
      </c>
      <c r="B428" s="116" t="s">
        <v>1911</v>
      </c>
      <c r="C428" s="117">
        <v>287</v>
      </c>
      <c r="D428" s="91" t="s">
        <v>1912</v>
      </c>
      <c r="E428" s="91" t="s">
        <v>19</v>
      </c>
      <c r="F428" s="121">
        <v>41473</v>
      </c>
      <c r="G428" s="118">
        <f>558+375</f>
        <v>933</v>
      </c>
      <c r="H428" s="72"/>
      <c r="I428" s="72"/>
      <c r="J428" s="72"/>
      <c r="K428" s="72"/>
      <c r="L428" s="72"/>
      <c r="M428" s="72"/>
      <c r="N428" s="72"/>
      <c r="O428" s="72"/>
      <c r="P428" s="72"/>
      <c r="Q428" s="63">
        <f>+G428+I428+K428+M428+O428</f>
        <v>933</v>
      </c>
      <c r="R428" s="72">
        <f>+H428+J428+L428+N428+P428</f>
        <v>0</v>
      </c>
      <c r="S428" s="63">
        <f>+Q428+R428</f>
        <v>933</v>
      </c>
    </row>
    <row r="429" spans="1:19" x14ac:dyDescent="0.25">
      <c r="A429" s="116" t="s">
        <v>1913</v>
      </c>
      <c r="B429" s="116" t="s">
        <v>1914</v>
      </c>
      <c r="C429" s="117">
        <v>288</v>
      </c>
      <c r="D429" s="91" t="s">
        <v>1915</v>
      </c>
      <c r="E429" s="91" t="s">
        <v>19</v>
      </c>
      <c r="F429" s="121">
        <v>41493</v>
      </c>
      <c r="G429" s="118">
        <v>621</v>
      </c>
      <c r="H429" s="72"/>
      <c r="I429" s="120">
        <f>375</f>
        <v>375</v>
      </c>
      <c r="J429" s="72"/>
      <c r="K429" s="72"/>
      <c r="L429" s="72"/>
      <c r="M429" s="72"/>
      <c r="N429" s="72"/>
      <c r="O429" s="72"/>
      <c r="P429" s="72"/>
      <c r="Q429" s="63">
        <f t="shared" ref="Q429:Q444" si="34">+G428+I429+K429+M429+O429</f>
        <v>1308</v>
      </c>
      <c r="R429" s="72">
        <f t="shared" si="32"/>
        <v>0</v>
      </c>
      <c r="S429" s="63">
        <f t="shared" si="33"/>
        <v>1308</v>
      </c>
    </row>
    <row r="430" spans="1:19" x14ac:dyDescent="0.25">
      <c r="A430" s="116" t="s">
        <v>1916</v>
      </c>
      <c r="B430" s="116" t="s">
        <v>1917</v>
      </c>
      <c r="C430" s="117">
        <v>289</v>
      </c>
      <c r="D430" s="91" t="s">
        <v>1918</v>
      </c>
      <c r="E430" s="91" t="s">
        <v>19</v>
      </c>
      <c r="F430" s="121">
        <v>41487</v>
      </c>
      <c r="G430" s="118">
        <f>35.35+47.2+241.9+265.26</f>
        <v>589.71</v>
      </c>
      <c r="H430" s="72"/>
      <c r="I430" s="73"/>
      <c r="J430" s="72"/>
      <c r="K430" s="72"/>
      <c r="L430" s="72"/>
      <c r="M430" s="72"/>
      <c r="N430" s="72"/>
      <c r="O430" s="72"/>
      <c r="P430" s="72"/>
      <c r="Q430" s="63">
        <f t="shared" si="34"/>
        <v>621</v>
      </c>
      <c r="R430" s="72">
        <f t="shared" si="32"/>
        <v>0</v>
      </c>
      <c r="S430" s="63">
        <f t="shared" si="33"/>
        <v>621</v>
      </c>
    </row>
    <row r="431" spans="1:19" x14ac:dyDescent="0.25">
      <c r="A431" s="116" t="s">
        <v>1919</v>
      </c>
      <c r="B431" s="116" t="s">
        <v>1920</v>
      </c>
      <c r="C431" s="117">
        <v>290</v>
      </c>
      <c r="D431" s="91" t="s">
        <v>1921</v>
      </c>
      <c r="E431" s="91" t="s">
        <v>19</v>
      </c>
      <c r="F431" s="121">
        <v>41477</v>
      </c>
      <c r="G431" s="118">
        <f>47.2+157.22</f>
        <v>204.42000000000002</v>
      </c>
      <c r="H431" s="72"/>
      <c r="I431" s="120">
        <v>125</v>
      </c>
      <c r="J431" s="72"/>
      <c r="K431" s="72"/>
      <c r="L431" s="72"/>
      <c r="M431" s="72"/>
      <c r="N431" s="72"/>
      <c r="O431" s="72"/>
      <c r="P431" s="72"/>
      <c r="Q431" s="63">
        <f t="shared" si="34"/>
        <v>714.71</v>
      </c>
      <c r="R431" s="72">
        <f t="shared" si="32"/>
        <v>0</v>
      </c>
      <c r="S431" s="63">
        <f t="shared" si="33"/>
        <v>714.71</v>
      </c>
    </row>
    <row r="432" spans="1:19" x14ac:dyDescent="0.25">
      <c r="A432" s="116" t="s">
        <v>1919</v>
      </c>
      <c r="B432" s="116" t="s">
        <v>1920</v>
      </c>
      <c r="C432" s="117">
        <v>290</v>
      </c>
      <c r="D432" s="91" t="s">
        <v>1922</v>
      </c>
      <c r="E432" s="91" t="s">
        <v>19</v>
      </c>
      <c r="F432" s="121">
        <v>41477</v>
      </c>
      <c r="G432" s="118">
        <f>63.22</f>
        <v>63.22</v>
      </c>
      <c r="H432" s="72"/>
      <c r="I432" s="73"/>
      <c r="J432" s="72"/>
      <c r="K432" s="72"/>
      <c r="L432" s="72"/>
      <c r="M432" s="72"/>
      <c r="N432" s="72"/>
      <c r="O432" s="72"/>
      <c r="P432" s="72"/>
      <c r="Q432" s="63">
        <f t="shared" si="34"/>
        <v>204.42000000000002</v>
      </c>
      <c r="R432" s="72">
        <f t="shared" si="32"/>
        <v>0</v>
      </c>
      <c r="S432" s="63">
        <f t="shared" si="33"/>
        <v>204.42000000000002</v>
      </c>
    </row>
    <row r="433" spans="1:19" x14ac:dyDescent="0.25">
      <c r="A433" s="116" t="s">
        <v>1919</v>
      </c>
      <c r="B433" s="116" t="s">
        <v>1920</v>
      </c>
      <c r="C433" s="117">
        <v>290</v>
      </c>
      <c r="D433" s="91" t="s">
        <v>1923</v>
      </c>
      <c r="E433" s="91" t="s">
        <v>19</v>
      </c>
      <c r="F433" s="121">
        <v>41477</v>
      </c>
      <c r="G433" s="118">
        <f>396.65+2384.37</f>
        <v>2781.02</v>
      </c>
      <c r="H433" s="72"/>
      <c r="I433" s="120">
        <v>375</v>
      </c>
      <c r="J433" s="72"/>
      <c r="K433" s="72"/>
      <c r="L433" s="72"/>
      <c r="M433" s="72"/>
      <c r="N433" s="72"/>
      <c r="O433" s="72"/>
      <c r="P433" s="72"/>
      <c r="Q433" s="63">
        <f t="shared" si="34"/>
        <v>438.22</v>
      </c>
      <c r="R433" s="72">
        <f t="shared" si="32"/>
        <v>0</v>
      </c>
      <c r="S433" s="63">
        <f t="shared" si="33"/>
        <v>438.22</v>
      </c>
    </row>
    <row r="434" spans="1:19" x14ac:dyDescent="0.25">
      <c r="A434" s="116" t="s">
        <v>1924</v>
      </c>
      <c r="B434" s="116" t="s">
        <v>1925</v>
      </c>
      <c r="C434" s="117">
        <v>291</v>
      </c>
      <c r="D434" s="91" t="s">
        <v>1926</v>
      </c>
      <c r="E434" s="91" t="s">
        <v>19</v>
      </c>
      <c r="F434" s="121">
        <v>41482</v>
      </c>
      <c r="G434" s="118">
        <f>36+47.2+114.46+173.4+165.56+175.3+41.3+167.5</f>
        <v>920.72</v>
      </c>
      <c r="H434" s="72"/>
      <c r="I434" s="120">
        <v>1250</v>
      </c>
      <c r="J434" s="72"/>
      <c r="K434" s="72"/>
      <c r="L434" s="72"/>
      <c r="M434" s="72"/>
      <c r="N434" s="72"/>
      <c r="O434" s="72"/>
      <c r="P434" s="72"/>
      <c r="Q434" s="63">
        <f t="shared" si="34"/>
        <v>4031.02</v>
      </c>
      <c r="R434" s="72">
        <f t="shared" si="32"/>
        <v>0</v>
      </c>
      <c r="S434" s="63">
        <f t="shared" si="33"/>
        <v>4031.02</v>
      </c>
    </row>
    <row r="435" spans="1:19" x14ac:dyDescent="0.25">
      <c r="A435" s="116" t="s">
        <v>1927</v>
      </c>
      <c r="B435" s="116" t="s">
        <v>1928</v>
      </c>
      <c r="C435" s="117">
        <v>292</v>
      </c>
      <c r="D435" s="91" t="s">
        <v>1929</v>
      </c>
      <c r="E435" s="91" t="s">
        <v>19</v>
      </c>
      <c r="F435" s="121">
        <v>41627</v>
      </c>
      <c r="G435" s="118">
        <v>82.6</v>
      </c>
      <c r="H435" s="72"/>
      <c r="I435" s="72"/>
      <c r="J435" s="72"/>
      <c r="K435" s="72"/>
      <c r="L435" s="72"/>
      <c r="M435" s="72"/>
      <c r="N435" s="72"/>
      <c r="O435" s="72"/>
      <c r="P435" s="72"/>
      <c r="Q435" s="63">
        <f t="shared" si="34"/>
        <v>920.72</v>
      </c>
      <c r="R435" s="72">
        <f t="shared" si="32"/>
        <v>0</v>
      </c>
      <c r="S435" s="63">
        <f t="shared" si="33"/>
        <v>920.72</v>
      </c>
    </row>
    <row r="436" spans="1:19" x14ac:dyDescent="0.25">
      <c r="A436" s="116" t="s">
        <v>1927</v>
      </c>
      <c r="B436" s="116" t="s">
        <v>1928</v>
      </c>
      <c r="C436" s="117">
        <v>292</v>
      </c>
      <c r="D436" s="91" t="s">
        <v>1930</v>
      </c>
      <c r="E436" s="91" t="s">
        <v>19</v>
      </c>
      <c r="F436" s="121">
        <v>41627</v>
      </c>
      <c r="G436" s="118">
        <f>108.56</f>
        <v>108.56</v>
      </c>
      <c r="H436" s="72"/>
      <c r="I436" s="72"/>
      <c r="J436" s="72"/>
      <c r="K436" s="72"/>
      <c r="L436" s="72"/>
      <c r="M436" s="72"/>
      <c r="N436" s="72"/>
      <c r="O436" s="72"/>
      <c r="P436" s="72"/>
      <c r="Q436" s="63">
        <f t="shared" si="34"/>
        <v>82.6</v>
      </c>
      <c r="R436" s="72">
        <f t="shared" si="32"/>
        <v>0</v>
      </c>
      <c r="S436" s="63">
        <f t="shared" si="33"/>
        <v>82.6</v>
      </c>
    </row>
    <row r="437" spans="1:19" x14ac:dyDescent="0.25">
      <c r="A437" s="116" t="s">
        <v>1927</v>
      </c>
      <c r="B437" s="116" t="s">
        <v>1928</v>
      </c>
      <c r="C437" s="117">
        <v>292</v>
      </c>
      <c r="D437" s="91" t="s">
        <v>1931</v>
      </c>
      <c r="E437" s="91" t="s">
        <v>19</v>
      </c>
      <c r="F437" s="121">
        <v>41627</v>
      </c>
      <c r="G437" s="118">
        <f>47.2</f>
        <v>47.2</v>
      </c>
      <c r="H437" s="72"/>
      <c r="I437" s="72"/>
      <c r="J437" s="72"/>
      <c r="K437" s="72"/>
      <c r="L437" s="72"/>
      <c r="M437" s="72"/>
      <c r="N437" s="72"/>
      <c r="O437" s="72"/>
      <c r="P437" s="72"/>
      <c r="Q437" s="63">
        <f t="shared" si="34"/>
        <v>108.56</v>
      </c>
      <c r="R437" s="72">
        <f t="shared" si="32"/>
        <v>0</v>
      </c>
      <c r="S437" s="63">
        <f t="shared" si="33"/>
        <v>108.56</v>
      </c>
    </row>
    <row r="438" spans="1:19" x14ac:dyDescent="0.25">
      <c r="A438" s="116" t="s">
        <v>1927</v>
      </c>
      <c r="B438" s="116" t="s">
        <v>1928</v>
      </c>
      <c r="C438" s="117">
        <v>292</v>
      </c>
      <c r="D438" s="91" t="s">
        <v>1932</v>
      </c>
      <c r="E438" s="91" t="s">
        <v>19</v>
      </c>
      <c r="F438" s="121">
        <v>41627</v>
      </c>
      <c r="G438" s="118">
        <f>47.2</f>
        <v>47.2</v>
      </c>
      <c r="H438" s="72"/>
      <c r="I438" s="72"/>
      <c r="J438" s="72"/>
      <c r="K438" s="72"/>
      <c r="L438" s="72"/>
      <c r="M438" s="72"/>
      <c r="N438" s="72"/>
      <c r="O438" s="72"/>
      <c r="P438" s="72"/>
      <c r="Q438" s="63">
        <f t="shared" si="34"/>
        <v>47.2</v>
      </c>
      <c r="R438" s="72">
        <f t="shared" si="32"/>
        <v>0</v>
      </c>
      <c r="S438" s="63">
        <f t="shared" si="33"/>
        <v>47.2</v>
      </c>
    </row>
    <row r="439" spans="1:19" x14ac:dyDescent="0.25">
      <c r="A439" s="116" t="s">
        <v>1933</v>
      </c>
      <c r="B439" s="116" t="s">
        <v>1934</v>
      </c>
      <c r="C439" s="117">
        <v>293</v>
      </c>
      <c r="D439" s="91" t="s">
        <v>1935</v>
      </c>
      <c r="E439" s="91" t="s">
        <v>19</v>
      </c>
      <c r="F439" s="121">
        <v>41464</v>
      </c>
      <c r="G439" s="118">
        <v>172.67</v>
      </c>
      <c r="H439" s="72"/>
      <c r="I439" s="72"/>
      <c r="J439" s="72"/>
      <c r="K439" s="72"/>
      <c r="L439" s="72"/>
      <c r="M439" s="72"/>
      <c r="N439" s="72"/>
      <c r="O439" s="72"/>
      <c r="P439" s="72"/>
      <c r="Q439" s="63">
        <f t="shared" si="34"/>
        <v>47.2</v>
      </c>
      <c r="R439" s="72">
        <f t="shared" si="32"/>
        <v>0</v>
      </c>
      <c r="S439" s="63">
        <f t="shared" si="33"/>
        <v>47.2</v>
      </c>
    </row>
    <row r="440" spans="1:19" x14ac:dyDescent="0.25">
      <c r="A440" s="116" t="s">
        <v>1933</v>
      </c>
      <c r="B440" s="116" t="s">
        <v>1934</v>
      </c>
      <c r="C440" s="117">
        <v>293</v>
      </c>
      <c r="D440" s="91" t="s">
        <v>1936</v>
      </c>
      <c r="E440" s="91" t="s">
        <v>19</v>
      </c>
      <c r="F440" s="121">
        <v>41464</v>
      </c>
      <c r="G440" s="118">
        <v>47.2</v>
      </c>
      <c r="H440" s="72"/>
      <c r="I440" s="72"/>
      <c r="J440" s="72"/>
      <c r="K440" s="72"/>
      <c r="L440" s="72"/>
      <c r="M440" s="72"/>
      <c r="N440" s="72"/>
      <c r="O440" s="72"/>
      <c r="P440" s="72"/>
      <c r="Q440" s="63">
        <f t="shared" si="34"/>
        <v>172.67</v>
      </c>
      <c r="R440" s="72">
        <f t="shared" si="32"/>
        <v>0</v>
      </c>
      <c r="S440" s="63">
        <f t="shared" si="33"/>
        <v>172.67</v>
      </c>
    </row>
    <row r="441" spans="1:19" x14ac:dyDescent="0.25">
      <c r="A441" s="116" t="s">
        <v>1937</v>
      </c>
      <c r="B441" s="116" t="s">
        <v>1938</v>
      </c>
      <c r="C441" s="117">
        <v>294</v>
      </c>
      <c r="D441" s="91" t="s">
        <v>1939</v>
      </c>
      <c r="E441" s="91" t="s">
        <v>19</v>
      </c>
      <c r="F441" s="121">
        <v>41593</v>
      </c>
      <c r="G441" s="118">
        <f>47.2</f>
        <v>47.2</v>
      </c>
      <c r="H441" s="72"/>
      <c r="I441" s="72"/>
      <c r="J441" s="72"/>
      <c r="K441" s="72"/>
      <c r="L441" s="72"/>
      <c r="M441" s="72"/>
      <c r="N441" s="72"/>
      <c r="O441" s="72"/>
      <c r="P441" s="72"/>
      <c r="Q441" s="63">
        <f t="shared" si="34"/>
        <v>47.2</v>
      </c>
      <c r="R441" s="72">
        <f t="shared" si="32"/>
        <v>0</v>
      </c>
      <c r="S441" s="63">
        <f t="shared" si="33"/>
        <v>47.2</v>
      </c>
    </row>
    <row r="442" spans="1:19" x14ac:dyDescent="0.25">
      <c r="A442" s="116" t="s">
        <v>1937</v>
      </c>
      <c r="B442" s="116" t="s">
        <v>1938</v>
      </c>
      <c r="C442" s="117">
        <v>294</v>
      </c>
      <c r="D442" s="91" t="s">
        <v>1940</v>
      </c>
      <c r="E442" s="91" t="s">
        <v>19</v>
      </c>
      <c r="F442" s="121">
        <v>41593</v>
      </c>
      <c r="G442" s="118">
        <f>285.68</f>
        <v>285.68</v>
      </c>
      <c r="H442" s="72"/>
      <c r="I442" s="72"/>
      <c r="J442" s="72"/>
      <c r="K442" s="72"/>
      <c r="L442" s="72"/>
      <c r="M442" s="72"/>
      <c r="N442" s="72"/>
      <c r="O442" s="72"/>
      <c r="P442" s="72"/>
      <c r="Q442" s="63">
        <f t="shared" si="34"/>
        <v>47.2</v>
      </c>
      <c r="R442" s="72">
        <f t="shared" si="32"/>
        <v>0</v>
      </c>
      <c r="S442" s="63">
        <f t="shared" si="33"/>
        <v>47.2</v>
      </c>
    </row>
    <row r="443" spans="1:19" x14ac:dyDescent="0.25">
      <c r="A443" s="116" t="s">
        <v>1941</v>
      </c>
      <c r="B443" s="116" t="s">
        <v>1942</v>
      </c>
      <c r="C443" s="117">
        <v>295</v>
      </c>
      <c r="D443" s="91" t="s">
        <v>1943</v>
      </c>
      <c r="E443" s="91" t="s">
        <v>19</v>
      </c>
      <c r="F443" s="121">
        <v>41627</v>
      </c>
      <c r="G443" s="118">
        <f>129.21</f>
        <v>129.21</v>
      </c>
      <c r="H443" s="72"/>
      <c r="I443" s="72"/>
      <c r="J443" s="72"/>
      <c r="K443" s="72"/>
      <c r="L443" s="72"/>
      <c r="M443" s="72"/>
      <c r="N443" s="72"/>
      <c r="O443" s="72"/>
      <c r="P443" s="72"/>
      <c r="Q443" s="63">
        <f t="shared" si="34"/>
        <v>285.68</v>
      </c>
      <c r="R443" s="72">
        <f t="shared" si="32"/>
        <v>0</v>
      </c>
      <c r="S443" s="63">
        <f t="shared" si="33"/>
        <v>285.68</v>
      </c>
    </row>
    <row r="444" spans="1:19" x14ac:dyDescent="0.25">
      <c r="A444" s="116" t="s">
        <v>1944</v>
      </c>
      <c r="B444" s="116" t="s">
        <v>1945</v>
      </c>
      <c r="C444" s="117">
        <v>296</v>
      </c>
      <c r="D444" s="91" t="s">
        <v>1946</v>
      </c>
      <c r="E444" s="91" t="s">
        <v>19</v>
      </c>
      <c r="F444" s="121">
        <v>41627</v>
      </c>
      <c r="G444" s="77"/>
      <c r="H444" s="72"/>
      <c r="I444" s="72"/>
      <c r="J444" s="72"/>
      <c r="K444" s="72"/>
      <c r="L444" s="72"/>
      <c r="M444" s="72"/>
      <c r="N444" s="72"/>
      <c r="O444" s="72"/>
      <c r="P444" s="72"/>
      <c r="Q444" s="63">
        <f t="shared" si="34"/>
        <v>129.21</v>
      </c>
      <c r="R444" s="72">
        <f t="shared" si="32"/>
        <v>0</v>
      </c>
      <c r="S444" s="63">
        <f t="shared" si="33"/>
        <v>129.21</v>
      </c>
    </row>
    <row r="445" spans="1:19" x14ac:dyDescent="0.25">
      <c r="A445" s="116" t="s">
        <v>1289</v>
      </c>
      <c r="B445" s="116" t="s">
        <v>1290</v>
      </c>
      <c r="C445" s="117">
        <v>297</v>
      </c>
      <c r="D445" s="91" t="s">
        <v>1947</v>
      </c>
      <c r="E445" s="91" t="s">
        <v>19</v>
      </c>
      <c r="F445" s="121">
        <v>41493</v>
      </c>
      <c r="G445" s="118">
        <v>129.06</v>
      </c>
      <c r="H445" s="72"/>
      <c r="I445" s="72"/>
      <c r="J445" s="72"/>
      <c r="K445" s="72"/>
      <c r="L445" s="72"/>
      <c r="M445" s="72"/>
      <c r="N445" s="72"/>
      <c r="O445" s="72"/>
      <c r="P445" s="72"/>
      <c r="Q445" s="63">
        <f>+G444+I445+K445+M445+O445</f>
        <v>0</v>
      </c>
      <c r="R445" s="72">
        <f>+H445+J445+L445+N445+P445</f>
        <v>0</v>
      </c>
      <c r="S445" s="63">
        <f>+Q445+R445</f>
        <v>0</v>
      </c>
    </row>
    <row r="446" spans="1:19" x14ac:dyDescent="0.25">
      <c r="A446" s="116" t="s">
        <v>1948</v>
      </c>
      <c r="B446" s="116" t="s">
        <v>1949</v>
      </c>
      <c r="C446" s="117">
        <v>298</v>
      </c>
      <c r="D446" s="91" t="s">
        <v>1950</v>
      </c>
      <c r="E446" s="91" t="s">
        <v>19</v>
      </c>
      <c r="F446" s="121">
        <v>41493</v>
      </c>
      <c r="G446" s="118">
        <v>79.739999999999995</v>
      </c>
      <c r="H446" s="72"/>
      <c r="I446" s="72"/>
      <c r="J446" s="72"/>
      <c r="K446" s="72"/>
      <c r="L446" s="72"/>
      <c r="M446" s="72"/>
      <c r="N446" s="72"/>
      <c r="O446" s="72"/>
      <c r="P446" s="72"/>
      <c r="Q446" s="63">
        <f t="shared" ref="Q446:Q470" si="35">+G445+I446+K446+M446+O446</f>
        <v>129.06</v>
      </c>
      <c r="R446" s="72">
        <f t="shared" si="32"/>
        <v>0</v>
      </c>
      <c r="S446" s="63">
        <f t="shared" si="33"/>
        <v>129.06</v>
      </c>
    </row>
    <row r="447" spans="1:19" x14ac:dyDescent="0.25">
      <c r="A447" s="116" t="s">
        <v>1951</v>
      </c>
      <c r="B447" s="116" t="s">
        <v>1952</v>
      </c>
      <c r="C447" s="117">
        <v>299</v>
      </c>
      <c r="D447" s="91" t="s">
        <v>1953</v>
      </c>
      <c r="E447" s="91" t="s">
        <v>19</v>
      </c>
      <c r="F447" s="121">
        <v>41717</v>
      </c>
      <c r="G447" s="118">
        <f>223.7</f>
        <v>223.7</v>
      </c>
      <c r="H447" s="72"/>
      <c r="I447" s="72"/>
      <c r="J447" s="72"/>
      <c r="K447" s="72"/>
      <c r="L447" s="72"/>
      <c r="M447" s="72"/>
      <c r="N447" s="72"/>
      <c r="O447" s="72"/>
      <c r="P447" s="72"/>
      <c r="Q447" s="63">
        <f t="shared" si="35"/>
        <v>79.739999999999995</v>
      </c>
      <c r="R447" s="72">
        <f t="shared" si="32"/>
        <v>0</v>
      </c>
      <c r="S447" s="63">
        <f t="shared" si="33"/>
        <v>79.739999999999995</v>
      </c>
    </row>
    <row r="448" spans="1:19" x14ac:dyDescent="0.25">
      <c r="A448" s="116" t="s">
        <v>1954</v>
      </c>
      <c r="B448" s="116" t="s">
        <v>1955</v>
      </c>
      <c r="C448" s="117">
        <v>300</v>
      </c>
      <c r="D448" s="91" t="s">
        <v>1956</v>
      </c>
      <c r="E448" s="91" t="s">
        <v>19</v>
      </c>
      <c r="F448" s="121">
        <v>41481</v>
      </c>
      <c r="G448" s="118">
        <f>51.45+240+15.93+109.98+47.2+47.2+96.19+64.9+191.58+288.81+64.9+436.6</f>
        <v>1654.7400000000002</v>
      </c>
      <c r="H448" s="72"/>
      <c r="I448" s="120">
        <f>750+375+1125+375</f>
        <v>2625</v>
      </c>
      <c r="J448" s="72"/>
      <c r="K448" s="72"/>
      <c r="L448" s="72"/>
      <c r="M448" s="72"/>
      <c r="N448" s="72"/>
      <c r="O448" s="72"/>
      <c r="P448" s="72"/>
      <c r="Q448" s="63">
        <f t="shared" si="35"/>
        <v>2848.7</v>
      </c>
      <c r="R448" s="72">
        <f t="shared" si="32"/>
        <v>0</v>
      </c>
      <c r="S448" s="63">
        <f t="shared" si="33"/>
        <v>2848.7</v>
      </c>
    </row>
    <row r="449" spans="1:19" x14ac:dyDescent="0.25">
      <c r="A449" s="116" t="s">
        <v>1957</v>
      </c>
      <c r="B449" s="116" t="s">
        <v>1958</v>
      </c>
      <c r="C449" s="117">
        <v>301</v>
      </c>
      <c r="D449" s="91" t="s">
        <v>1959</v>
      </c>
      <c r="E449" s="91" t="s">
        <v>19</v>
      </c>
      <c r="F449" s="121">
        <v>41498</v>
      </c>
      <c r="G449" s="118">
        <f>47.2+93.98+348.1+303.66+47.2+47.2+348.1+64.9+142+47.2+47.2</f>
        <v>1536.7400000000002</v>
      </c>
      <c r="H449" s="72"/>
      <c r="I449" s="120">
        <v>750</v>
      </c>
      <c r="J449" s="72"/>
      <c r="K449" s="72"/>
      <c r="L449" s="72"/>
      <c r="M449" s="72"/>
      <c r="N449" s="72"/>
      <c r="O449" s="72"/>
      <c r="P449" s="72"/>
      <c r="Q449" s="63">
        <f t="shared" si="35"/>
        <v>2404.7400000000002</v>
      </c>
      <c r="R449" s="72">
        <f t="shared" si="32"/>
        <v>0</v>
      </c>
      <c r="S449" s="63">
        <f t="shared" si="33"/>
        <v>2404.7400000000002</v>
      </c>
    </row>
    <row r="450" spans="1:19" x14ac:dyDescent="0.25">
      <c r="A450" s="116" t="s">
        <v>1960</v>
      </c>
      <c r="B450" s="116" t="s">
        <v>1961</v>
      </c>
      <c r="C450" s="117">
        <v>302</v>
      </c>
      <c r="D450" s="91" t="s">
        <v>1962</v>
      </c>
      <c r="E450" s="91" t="s">
        <v>1963</v>
      </c>
      <c r="F450" s="121">
        <v>41526</v>
      </c>
      <c r="G450" s="118">
        <f>221.7</f>
        <v>221.7</v>
      </c>
      <c r="H450" s="72"/>
      <c r="I450" s="72"/>
      <c r="J450" s="72"/>
      <c r="K450" s="72"/>
      <c r="L450" s="72"/>
      <c r="M450" s="72"/>
      <c r="N450" s="72"/>
      <c r="O450" s="72"/>
      <c r="P450" s="72"/>
      <c r="Q450" s="63">
        <f t="shared" si="35"/>
        <v>1536.7400000000002</v>
      </c>
      <c r="R450" s="72">
        <f t="shared" si="32"/>
        <v>0</v>
      </c>
      <c r="S450" s="63">
        <f t="shared" si="33"/>
        <v>1536.7400000000002</v>
      </c>
    </row>
    <row r="451" spans="1:19" x14ac:dyDescent="0.25">
      <c r="A451" s="116" t="s">
        <v>1659</v>
      </c>
      <c r="B451" s="116" t="s">
        <v>1660</v>
      </c>
      <c r="C451" s="117">
        <v>303</v>
      </c>
      <c r="D451" s="91" t="s">
        <v>1964</v>
      </c>
      <c r="E451" s="91" t="s">
        <v>19</v>
      </c>
      <c r="F451" s="121">
        <v>41526</v>
      </c>
      <c r="G451" s="118">
        <f>97.4</f>
        <v>97.4</v>
      </c>
      <c r="H451" s="72"/>
      <c r="I451" s="72"/>
      <c r="J451" s="72"/>
      <c r="K451" s="72"/>
      <c r="L451" s="72"/>
      <c r="M451" s="72"/>
      <c r="N451" s="72"/>
      <c r="O451" s="72"/>
      <c r="P451" s="72"/>
      <c r="Q451" s="63">
        <f t="shared" si="35"/>
        <v>221.7</v>
      </c>
      <c r="R451" s="72">
        <f t="shared" si="32"/>
        <v>0</v>
      </c>
      <c r="S451" s="63">
        <f t="shared" si="33"/>
        <v>221.7</v>
      </c>
    </row>
    <row r="452" spans="1:19" x14ac:dyDescent="0.25">
      <c r="A452" s="116" t="s">
        <v>1659</v>
      </c>
      <c r="B452" s="116" t="s">
        <v>1660</v>
      </c>
      <c r="C452" s="117">
        <v>303</v>
      </c>
      <c r="D452" s="91" t="s">
        <v>1965</v>
      </c>
      <c r="E452" s="91" t="s">
        <v>19</v>
      </c>
      <c r="F452" s="121">
        <v>41526</v>
      </c>
      <c r="G452" s="118">
        <f>93.9</f>
        <v>93.9</v>
      </c>
      <c r="H452" s="72"/>
      <c r="I452" s="72"/>
      <c r="J452" s="72"/>
      <c r="K452" s="72"/>
      <c r="L452" s="72"/>
      <c r="M452" s="72"/>
      <c r="N452" s="72"/>
      <c r="O452" s="72"/>
      <c r="P452" s="72"/>
      <c r="Q452" s="63">
        <f t="shared" si="35"/>
        <v>97.4</v>
      </c>
      <c r="R452" s="72">
        <f t="shared" si="32"/>
        <v>0</v>
      </c>
      <c r="S452" s="63">
        <f t="shared" si="33"/>
        <v>97.4</v>
      </c>
    </row>
    <row r="453" spans="1:19" x14ac:dyDescent="0.25">
      <c r="A453" s="116" t="s">
        <v>1659</v>
      </c>
      <c r="B453" s="116" t="s">
        <v>1660</v>
      </c>
      <c r="C453" s="117">
        <v>303</v>
      </c>
      <c r="D453" s="91" t="s">
        <v>1966</v>
      </c>
      <c r="E453" s="91" t="s">
        <v>19</v>
      </c>
      <c r="F453" s="121">
        <v>41526</v>
      </c>
      <c r="G453" s="118">
        <f>114.3</f>
        <v>114.3</v>
      </c>
      <c r="H453" s="72"/>
      <c r="I453" s="72"/>
      <c r="J453" s="72"/>
      <c r="K453" s="72"/>
      <c r="L453" s="72"/>
      <c r="M453" s="72"/>
      <c r="N453" s="72"/>
      <c r="O453" s="72"/>
      <c r="P453" s="72"/>
      <c r="Q453" s="63">
        <f t="shared" si="35"/>
        <v>93.9</v>
      </c>
      <c r="R453" s="72">
        <f t="shared" si="32"/>
        <v>0</v>
      </c>
      <c r="S453" s="63">
        <f t="shared" si="33"/>
        <v>93.9</v>
      </c>
    </row>
    <row r="454" spans="1:19" x14ac:dyDescent="0.25">
      <c r="A454" s="116" t="s">
        <v>1659</v>
      </c>
      <c r="B454" s="116" t="s">
        <v>1660</v>
      </c>
      <c r="C454" s="117">
        <v>303</v>
      </c>
      <c r="D454" s="91" t="s">
        <v>1967</v>
      </c>
      <c r="E454" s="91" t="s">
        <v>19</v>
      </c>
      <c r="F454" s="121">
        <v>41526</v>
      </c>
      <c r="G454" s="118">
        <f>1027.3</f>
        <v>1027.3</v>
      </c>
      <c r="H454" s="72"/>
      <c r="I454" s="72"/>
      <c r="J454" s="72"/>
      <c r="K454" s="72"/>
      <c r="L454" s="72"/>
      <c r="M454" s="72"/>
      <c r="N454" s="72"/>
      <c r="O454" s="72"/>
      <c r="P454" s="72"/>
      <c r="Q454" s="63">
        <f t="shared" si="35"/>
        <v>114.3</v>
      </c>
      <c r="R454" s="72">
        <f t="shared" si="32"/>
        <v>0</v>
      </c>
      <c r="S454" s="63">
        <f t="shared" si="33"/>
        <v>114.3</v>
      </c>
    </row>
    <row r="455" spans="1:19" x14ac:dyDescent="0.25">
      <c r="A455" s="116" t="s">
        <v>1659</v>
      </c>
      <c r="B455" s="116" t="s">
        <v>1660</v>
      </c>
      <c r="C455" s="117">
        <v>303</v>
      </c>
      <c r="D455" s="91" t="s">
        <v>1968</v>
      </c>
      <c r="E455" s="91" t="s">
        <v>19</v>
      </c>
      <c r="F455" s="121">
        <v>41526</v>
      </c>
      <c r="G455" s="118">
        <f>48</f>
        <v>48</v>
      </c>
      <c r="H455" s="72"/>
      <c r="I455" s="72"/>
      <c r="J455" s="72"/>
      <c r="K455" s="72"/>
      <c r="L455" s="72"/>
      <c r="M455" s="72"/>
      <c r="N455" s="72"/>
      <c r="O455" s="72"/>
      <c r="P455" s="72"/>
      <c r="Q455" s="63">
        <f t="shared" si="35"/>
        <v>1027.3</v>
      </c>
      <c r="R455" s="72">
        <f t="shared" si="32"/>
        <v>0</v>
      </c>
      <c r="S455" s="63">
        <f t="shared" si="33"/>
        <v>1027.3</v>
      </c>
    </row>
    <row r="456" spans="1:19" x14ac:dyDescent="0.25">
      <c r="A456" s="116" t="s">
        <v>1659</v>
      </c>
      <c r="B456" s="116" t="s">
        <v>1660</v>
      </c>
      <c r="C456" s="117">
        <v>303</v>
      </c>
      <c r="D456" s="91" t="s">
        <v>1969</v>
      </c>
      <c r="E456" s="91" t="s">
        <v>19</v>
      </c>
      <c r="F456" s="121">
        <v>41526</v>
      </c>
      <c r="G456" s="118">
        <f>40</f>
        <v>40</v>
      </c>
      <c r="H456" s="72"/>
      <c r="I456" s="72"/>
      <c r="J456" s="72"/>
      <c r="K456" s="72"/>
      <c r="L456" s="72"/>
      <c r="M456" s="72"/>
      <c r="N456" s="72"/>
      <c r="O456" s="72"/>
      <c r="P456" s="72"/>
      <c r="Q456" s="63">
        <f t="shared" si="35"/>
        <v>48</v>
      </c>
      <c r="R456" s="72">
        <f t="shared" si="32"/>
        <v>0</v>
      </c>
      <c r="S456" s="63">
        <f t="shared" si="33"/>
        <v>48</v>
      </c>
    </row>
    <row r="457" spans="1:19" x14ac:dyDescent="0.25">
      <c r="A457" s="116" t="s">
        <v>1659</v>
      </c>
      <c r="B457" s="116" t="s">
        <v>1660</v>
      </c>
      <c r="C457" s="117">
        <v>303</v>
      </c>
      <c r="D457" s="91" t="s">
        <v>1970</v>
      </c>
      <c r="E457" s="91" t="s">
        <v>19</v>
      </c>
      <c r="F457" s="121">
        <v>41526</v>
      </c>
      <c r="G457" s="118">
        <f>48.7</f>
        <v>48.7</v>
      </c>
      <c r="H457" s="72"/>
      <c r="I457" s="72"/>
      <c r="J457" s="72"/>
      <c r="K457" s="72"/>
      <c r="L457" s="72"/>
      <c r="M457" s="72"/>
      <c r="N457" s="72"/>
      <c r="O457" s="72"/>
      <c r="P457" s="72"/>
      <c r="Q457" s="63">
        <f t="shared" si="35"/>
        <v>40</v>
      </c>
      <c r="R457" s="72">
        <f t="shared" si="32"/>
        <v>0</v>
      </c>
      <c r="S457" s="63">
        <f t="shared" si="33"/>
        <v>40</v>
      </c>
    </row>
    <row r="458" spans="1:19" x14ac:dyDescent="0.25">
      <c r="A458" s="116" t="s">
        <v>1659</v>
      </c>
      <c r="B458" s="116" t="s">
        <v>1660</v>
      </c>
      <c r="C458" s="117">
        <v>303</v>
      </c>
      <c r="D458" s="91" t="s">
        <v>1971</v>
      </c>
      <c r="E458" s="91" t="s">
        <v>19</v>
      </c>
      <c r="F458" s="121">
        <v>41526</v>
      </c>
      <c r="G458" s="118">
        <f>40</f>
        <v>40</v>
      </c>
      <c r="H458" s="72"/>
      <c r="I458" s="72"/>
      <c r="J458" s="72"/>
      <c r="K458" s="72"/>
      <c r="L458" s="72"/>
      <c r="M458" s="72"/>
      <c r="N458" s="72"/>
      <c r="O458" s="72"/>
      <c r="P458" s="72"/>
      <c r="Q458" s="63">
        <f t="shared" si="35"/>
        <v>48.7</v>
      </c>
      <c r="R458" s="72">
        <f t="shared" si="32"/>
        <v>0</v>
      </c>
      <c r="S458" s="63">
        <f t="shared" si="33"/>
        <v>48.7</v>
      </c>
    </row>
    <row r="459" spans="1:19" x14ac:dyDescent="0.25">
      <c r="A459" s="116" t="s">
        <v>1972</v>
      </c>
      <c r="B459" s="116" t="s">
        <v>1973</v>
      </c>
      <c r="C459" s="117">
        <v>304</v>
      </c>
      <c r="D459" s="91" t="s">
        <v>1974</v>
      </c>
      <c r="E459" s="91" t="s">
        <v>19</v>
      </c>
      <c r="F459" s="121">
        <v>41493</v>
      </c>
      <c r="G459" s="118">
        <f>137.75+34.02+23.18+62.39+94.4</f>
        <v>351.74</v>
      </c>
      <c r="H459" s="72"/>
      <c r="I459" s="72"/>
      <c r="J459" s="72"/>
      <c r="K459" s="72"/>
      <c r="L459" s="72"/>
      <c r="M459" s="72"/>
      <c r="N459" s="72"/>
      <c r="O459" s="72"/>
      <c r="P459" s="72"/>
      <c r="Q459" s="63">
        <f t="shared" si="35"/>
        <v>40</v>
      </c>
      <c r="R459" s="72">
        <f t="shared" si="32"/>
        <v>0</v>
      </c>
      <c r="S459" s="63">
        <f t="shared" si="33"/>
        <v>40</v>
      </c>
    </row>
    <row r="460" spans="1:19" x14ac:dyDescent="0.25">
      <c r="A460" s="116" t="s">
        <v>1975</v>
      </c>
      <c r="B460" s="116" t="s">
        <v>1976</v>
      </c>
      <c r="C460" s="117">
        <v>305</v>
      </c>
      <c r="D460" s="91" t="s">
        <v>1977</v>
      </c>
      <c r="E460" s="91" t="s">
        <v>19</v>
      </c>
      <c r="F460" s="121">
        <v>41549</v>
      </c>
      <c r="G460" s="118">
        <f>2729.36+47.2+335+17.38+47.2+335+23.99+301.5+47.2</f>
        <v>3883.8299999999995</v>
      </c>
      <c r="H460" s="72"/>
      <c r="I460" s="72"/>
      <c r="J460" s="72"/>
      <c r="K460" s="72"/>
      <c r="L460" s="72"/>
      <c r="M460" s="72"/>
      <c r="N460" s="72"/>
      <c r="O460" s="72"/>
      <c r="P460" s="72"/>
      <c r="Q460" s="63">
        <f t="shared" si="35"/>
        <v>351.74</v>
      </c>
      <c r="R460" s="72">
        <f t="shared" si="32"/>
        <v>0</v>
      </c>
      <c r="S460" s="63">
        <f t="shared" si="33"/>
        <v>351.74</v>
      </c>
    </row>
    <row r="461" spans="1:19" x14ac:dyDescent="0.25">
      <c r="A461" s="116" t="s">
        <v>1978</v>
      </c>
      <c r="B461" s="116" t="s">
        <v>1979</v>
      </c>
      <c r="C461" s="117">
        <v>306</v>
      </c>
      <c r="D461" s="91" t="s">
        <v>1980</v>
      </c>
      <c r="E461" s="91" t="s">
        <v>19</v>
      </c>
      <c r="F461" s="121">
        <v>41509</v>
      </c>
      <c r="G461" s="118">
        <f>81.8</f>
        <v>81.8</v>
      </c>
      <c r="H461" s="72"/>
      <c r="I461" s="72"/>
      <c r="J461" s="72"/>
      <c r="K461" s="72"/>
      <c r="L461" s="72"/>
      <c r="M461" s="72"/>
      <c r="N461" s="72"/>
      <c r="O461" s="72"/>
      <c r="P461" s="72"/>
      <c r="Q461" s="63">
        <f t="shared" si="35"/>
        <v>3883.8299999999995</v>
      </c>
      <c r="R461" s="72">
        <f t="shared" si="32"/>
        <v>0</v>
      </c>
      <c r="S461" s="63">
        <f t="shared" si="33"/>
        <v>3883.8299999999995</v>
      </c>
    </row>
    <row r="462" spans="1:19" x14ac:dyDescent="0.25">
      <c r="A462" s="116" t="s">
        <v>1981</v>
      </c>
      <c r="B462" s="116" t="s">
        <v>1982</v>
      </c>
      <c r="C462" s="117">
        <v>307</v>
      </c>
      <c r="D462" s="91" t="s">
        <v>1983</v>
      </c>
      <c r="E462" s="91" t="s">
        <v>19</v>
      </c>
      <c r="F462" s="121">
        <v>41509</v>
      </c>
      <c r="G462" s="118">
        <f>72</f>
        <v>72</v>
      </c>
      <c r="H462" s="72"/>
      <c r="I462" s="72"/>
      <c r="J462" s="72"/>
      <c r="K462" s="72"/>
      <c r="L462" s="72"/>
      <c r="M462" s="72"/>
      <c r="N462" s="72"/>
      <c r="O462" s="72"/>
      <c r="P462" s="72"/>
      <c r="Q462" s="63">
        <f t="shared" si="35"/>
        <v>81.8</v>
      </c>
      <c r="R462" s="72">
        <f t="shared" ref="Q462:R525" si="36">+H462+J462+L462+N462+P462</f>
        <v>0</v>
      </c>
      <c r="S462" s="63">
        <f t="shared" ref="S462:S525" si="37">+Q462+R462</f>
        <v>81.8</v>
      </c>
    </row>
    <row r="463" spans="1:19" x14ac:dyDescent="0.25">
      <c r="A463" s="116" t="s">
        <v>1984</v>
      </c>
      <c r="B463" s="116" t="s">
        <v>1985</v>
      </c>
      <c r="C463" s="117">
        <v>308</v>
      </c>
      <c r="D463" s="91" t="s">
        <v>1986</v>
      </c>
      <c r="E463" s="91" t="s">
        <v>19</v>
      </c>
      <c r="F463" s="121">
        <v>41509</v>
      </c>
      <c r="G463" s="118">
        <f>40</f>
        <v>40</v>
      </c>
      <c r="H463" s="72"/>
      <c r="I463" s="72"/>
      <c r="J463" s="72"/>
      <c r="K463" s="72"/>
      <c r="L463" s="72"/>
      <c r="M463" s="72"/>
      <c r="N463" s="72"/>
      <c r="O463" s="72"/>
      <c r="P463" s="72"/>
      <c r="Q463" s="63">
        <f t="shared" si="35"/>
        <v>72</v>
      </c>
      <c r="R463" s="72">
        <f t="shared" si="36"/>
        <v>0</v>
      </c>
      <c r="S463" s="63">
        <f t="shared" si="37"/>
        <v>72</v>
      </c>
    </row>
    <row r="464" spans="1:19" x14ac:dyDescent="0.25">
      <c r="A464" s="116" t="s">
        <v>1984</v>
      </c>
      <c r="B464" s="116" t="s">
        <v>1985</v>
      </c>
      <c r="C464" s="117">
        <v>308</v>
      </c>
      <c r="D464" s="91" t="s">
        <v>1987</v>
      </c>
      <c r="E464" s="91" t="s">
        <v>19</v>
      </c>
      <c r="F464" s="121">
        <v>41509</v>
      </c>
      <c r="G464" s="118">
        <f>424.2</f>
        <v>424.2</v>
      </c>
      <c r="H464" s="72"/>
      <c r="I464" s="72"/>
      <c r="J464" s="72"/>
      <c r="K464" s="72"/>
      <c r="L464" s="72"/>
      <c r="M464" s="72"/>
      <c r="N464" s="72"/>
      <c r="O464" s="72"/>
      <c r="P464" s="72"/>
      <c r="Q464" s="63">
        <f t="shared" si="35"/>
        <v>40</v>
      </c>
      <c r="R464" s="72">
        <f t="shared" si="36"/>
        <v>0</v>
      </c>
      <c r="S464" s="63">
        <f t="shared" si="37"/>
        <v>40</v>
      </c>
    </row>
    <row r="465" spans="1:19" x14ac:dyDescent="0.25">
      <c r="A465" s="116" t="s">
        <v>1984</v>
      </c>
      <c r="B465" s="116" t="s">
        <v>1985</v>
      </c>
      <c r="C465" s="117">
        <v>308</v>
      </c>
      <c r="D465" s="91" t="s">
        <v>1988</v>
      </c>
      <c r="E465" s="91" t="s">
        <v>19</v>
      </c>
      <c r="F465" s="121">
        <v>41509</v>
      </c>
      <c r="G465" s="118">
        <f>131.5</f>
        <v>131.5</v>
      </c>
      <c r="H465" s="72"/>
      <c r="I465" s="72"/>
      <c r="J465" s="72"/>
      <c r="K465" s="72"/>
      <c r="L465" s="72"/>
      <c r="M465" s="72"/>
      <c r="N465" s="72"/>
      <c r="O465" s="72"/>
      <c r="P465" s="72"/>
      <c r="Q465" s="63">
        <f t="shared" si="35"/>
        <v>424.2</v>
      </c>
      <c r="R465" s="72">
        <f t="shared" si="36"/>
        <v>0</v>
      </c>
      <c r="S465" s="63">
        <f t="shared" si="37"/>
        <v>424.2</v>
      </c>
    </row>
    <row r="466" spans="1:19" x14ac:dyDescent="0.25">
      <c r="A466" s="116" t="s">
        <v>1984</v>
      </c>
      <c r="B466" s="116" t="s">
        <v>1985</v>
      </c>
      <c r="C466" s="117">
        <v>308</v>
      </c>
      <c r="D466" s="91" t="s">
        <v>1989</v>
      </c>
      <c r="E466" s="91" t="s">
        <v>19</v>
      </c>
      <c r="F466" s="121">
        <v>41509</v>
      </c>
      <c r="G466" s="118">
        <f>103.5</f>
        <v>103.5</v>
      </c>
      <c r="H466" s="72"/>
      <c r="I466" s="72"/>
      <c r="J466" s="72"/>
      <c r="K466" s="72"/>
      <c r="L466" s="72"/>
      <c r="M466" s="72"/>
      <c r="N466" s="72"/>
      <c r="O466" s="72"/>
      <c r="P466" s="72"/>
      <c r="Q466" s="63">
        <f t="shared" si="35"/>
        <v>131.5</v>
      </c>
      <c r="R466" s="72">
        <f t="shared" si="36"/>
        <v>0</v>
      </c>
      <c r="S466" s="63">
        <f t="shared" si="37"/>
        <v>131.5</v>
      </c>
    </row>
    <row r="467" spans="1:19" x14ac:dyDescent="0.25">
      <c r="A467" s="116" t="s">
        <v>1990</v>
      </c>
      <c r="B467" s="116" t="s">
        <v>1991</v>
      </c>
      <c r="C467" s="117">
        <v>309</v>
      </c>
      <c r="D467" s="91" t="s">
        <v>1992</v>
      </c>
      <c r="E467" s="91" t="s">
        <v>19</v>
      </c>
      <c r="F467" s="121">
        <v>41509</v>
      </c>
      <c r="G467" s="118">
        <f>93.5</f>
        <v>93.5</v>
      </c>
      <c r="H467" s="72"/>
      <c r="I467" s="72"/>
      <c r="J467" s="72"/>
      <c r="K467" s="72"/>
      <c r="L467" s="72"/>
      <c r="M467" s="72"/>
      <c r="N467" s="72"/>
      <c r="O467" s="72"/>
      <c r="P467" s="72"/>
      <c r="Q467" s="63">
        <f t="shared" si="35"/>
        <v>103.5</v>
      </c>
      <c r="R467" s="72">
        <f t="shared" si="36"/>
        <v>0</v>
      </c>
      <c r="S467" s="63">
        <f t="shared" si="37"/>
        <v>103.5</v>
      </c>
    </row>
    <row r="468" spans="1:19" x14ac:dyDescent="0.25">
      <c r="A468" s="116" t="s">
        <v>1990</v>
      </c>
      <c r="B468" s="116" t="s">
        <v>1991</v>
      </c>
      <c r="C468" s="117">
        <v>309</v>
      </c>
      <c r="D468" s="91" t="s">
        <v>1993</v>
      </c>
      <c r="E468" s="91" t="s">
        <v>19</v>
      </c>
      <c r="F468" s="121">
        <v>41509</v>
      </c>
      <c r="G468" s="118">
        <f>128.5</f>
        <v>128.5</v>
      </c>
      <c r="H468" s="72"/>
      <c r="I468" s="72"/>
      <c r="J468" s="72"/>
      <c r="K468" s="72"/>
      <c r="L468" s="72"/>
      <c r="M468" s="72"/>
      <c r="N468" s="72"/>
      <c r="O468" s="72"/>
      <c r="P468" s="72"/>
      <c r="Q468" s="63">
        <f t="shared" si="35"/>
        <v>93.5</v>
      </c>
      <c r="R468" s="72">
        <f t="shared" si="36"/>
        <v>0</v>
      </c>
      <c r="S468" s="63">
        <f t="shared" si="37"/>
        <v>93.5</v>
      </c>
    </row>
    <row r="469" spans="1:19" x14ac:dyDescent="0.25">
      <c r="A469" s="116" t="s">
        <v>1994</v>
      </c>
      <c r="B469" s="116" t="s">
        <v>1995</v>
      </c>
      <c r="C469" s="117">
        <v>310</v>
      </c>
      <c r="D469" s="91" t="s">
        <v>1996</v>
      </c>
      <c r="E469" s="91" t="s">
        <v>19</v>
      </c>
      <c r="F469" s="121">
        <v>41509</v>
      </c>
      <c r="G469" s="118">
        <f>105.1</f>
        <v>105.1</v>
      </c>
      <c r="H469" s="72"/>
      <c r="I469" s="72"/>
      <c r="J469" s="72"/>
      <c r="K469" s="72"/>
      <c r="L469" s="72"/>
      <c r="M469" s="72"/>
      <c r="N469" s="72"/>
      <c r="O469" s="72"/>
      <c r="P469" s="72"/>
      <c r="Q469" s="63">
        <f t="shared" si="35"/>
        <v>128.5</v>
      </c>
      <c r="R469" s="72">
        <f t="shared" si="36"/>
        <v>0</v>
      </c>
      <c r="S469" s="63">
        <f t="shared" si="37"/>
        <v>128.5</v>
      </c>
    </row>
    <row r="470" spans="1:19" x14ac:dyDescent="0.25">
      <c r="A470" s="116" t="s">
        <v>1997</v>
      </c>
      <c r="B470" s="116" t="s">
        <v>1998</v>
      </c>
      <c r="C470" s="117">
        <v>311</v>
      </c>
      <c r="D470" s="91" t="s">
        <v>1999</v>
      </c>
      <c r="E470" s="91" t="s">
        <v>19</v>
      </c>
      <c r="F470" s="121">
        <v>41509</v>
      </c>
      <c r="G470" s="77">
        <f>457.2</f>
        <v>457.2</v>
      </c>
      <c r="H470" s="72"/>
      <c r="I470" s="72"/>
      <c r="J470" s="72"/>
      <c r="K470" s="72"/>
      <c r="L470" s="72"/>
      <c r="M470" s="72"/>
      <c r="N470" s="72"/>
      <c r="O470" s="72"/>
      <c r="P470" s="72"/>
      <c r="Q470" s="63">
        <f t="shared" si="35"/>
        <v>105.1</v>
      </c>
      <c r="R470" s="72">
        <f t="shared" si="36"/>
        <v>0</v>
      </c>
      <c r="S470" s="63">
        <f t="shared" si="37"/>
        <v>105.1</v>
      </c>
    </row>
    <row r="471" spans="1:19" x14ac:dyDescent="0.25">
      <c r="A471" s="116" t="s">
        <v>2000</v>
      </c>
      <c r="B471" s="116" t="s">
        <v>2001</v>
      </c>
      <c r="C471" s="117">
        <v>312</v>
      </c>
      <c r="D471" s="91" t="s">
        <v>2002</v>
      </c>
      <c r="E471" s="91" t="s">
        <v>19</v>
      </c>
      <c r="F471" s="121">
        <v>41509</v>
      </c>
      <c r="G471" s="118">
        <f>176.4</f>
        <v>176.4</v>
      </c>
      <c r="H471" s="72"/>
      <c r="I471" s="72"/>
      <c r="J471" s="72"/>
      <c r="K471" s="72"/>
      <c r="L471" s="72"/>
      <c r="M471" s="72"/>
      <c r="N471" s="72"/>
      <c r="O471" s="72"/>
      <c r="P471" s="72"/>
      <c r="Q471" s="63">
        <f>+G470+I471+K471+M471+O471</f>
        <v>457.2</v>
      </c>
      <c r="R471" s="72">
        <f>+H471+J471+L471+N471+P471</f>
        <v>0</v>
      </c>
      <c r="S471" s="63">
        <f>+Q471+R471</f>
        <v>457.2</v>
      </c>
    </row>
    <row r="472" spans="1:19" x14ac:dyDescent="0.25">
      <c r="A472" s="116" t="s">
        <v>2000</v>
      </c>
      <c r="B472" s="116" t="s">
        <v>2001</v>
      </c>
      <c r="C472" s="117">
        <v>312</v>
      </c>
      <c r="D472" s="91" t="s">
        <v>2003</v>
      </c>
      <c r="E472" s="91" t="s">
        <v>19</v>
      </c>
      <c r="F472" s="121">
        <v>41509</v>
      </c>
      <c r="G472" s="118">
        <f>75</f>
        <v>75</v>
      </c>
      <c r="H472" s="72"/>
      <c r="I472" s="72"/>
      <c r="J472" s="72"/>
      <c r="K472" s="72"/>
      <c r="L472" s="72"/>
      <c r="M472" s="72"/>
      <c r="N472" s="72"/>
      <c r="O472" s="72"/>
      <c r="P472" s="72"/>
      <c r="Q472" s="63">
        <f t="shared" ref="Q472:Q480" si="38">+G471+I472+K472+M472+O472</f>
        <v>176.4</v>
      </c>
      <c r="R472" s="72">
        <f t="shared" si="36"/>
        <v>0</v>
      </c>
      <c r="S472" s="63">
        <f t="shared" si="37"/>
        <v>176.4</v>
      </c>
    </row>
    <row r="473" spans="1:19" x14ac:dyDescent="0.25">
      <c r="A473" s="116" t="s">
        <v>2004</v>
      </c>
      <c r="B473" s="116" t="s">
        <v>2005</v>
      </c>
      <c r="C473" s="117">
        <v>313</v>
      </c>
      <c r="D473" s="91" t="s">
        <v>2006</v>
      </c>
      <c r="E473" s="91" t="s">
        <v>19</v>
      </c>
      <c r="F473" s="121">
        <v>41509</v>
      </c>
      <c r="G473" s="118">
        <f>112.2</f>
        <v>112.2</v>
      </c>
      <c r="H473" s="72"/>
      <c r="I473" s="72"/>
      <c r="J473" s="72"/>
      <c r="K473" s="72"/>
      <c r="L473" s="72"/>
      <c r="M473" s="72"/>
      <c r="N473" s="72"/>
      <c r="O473" s="72"/>
      <c r="P473" s="72"/>
      <c r="Q473" s="63">
        <f t="shared" si="38"/>
        <v>75</v>
      </c>
      <c r="R473" s="72">
        <f t="shared" si="36"/>
        <v>0</v>
      </c>
      <c r="S473" s="63">
        <f t="shared" si="37"/>
        <v>75</v>
      </c>
    </row>
    <row r="474" spans="1:19" x14ac:dyDescent="0.25">
      <c r="A474" s="116" t="s">
        <v>2007</v>
      </c>
      <c r="B474" s="116" t="s">
        <v>2008</v>
      </c>
      <c r="C474" s="117">
        <v>314</v>
      </c>
      <c r="D474" s="91" t="s">
        <v>2009</v>
      </c>
      <c r="E474" s="91" t="s">
        <v>19</v>
      </c>
      <c r="F474" s="121">
        <v>41509</v>
      </c>
      <c r="G474" s="118">
        <f>48.5</f>
        <v>48.5</v>
      </c>
      <c r="H474" s="72"/>
      <c r="I474" s="72"/>
      <c r="J474" s="72"/>
      <c r="K474" s="72"/>
      <c r="L474" s="72"/>
      <c r="M474" s="72"/>
      <c r="N474" s="72"/>
      <c r="O474" s="72"/>
      <c r="P474" s="72"/>
      <c r="Q474" s="63">
        <f t="shared" si="38"/>
        <v>112.2</v>
      </c>
      <c r="R474" s="72">
        <f t="shared" si="36"/>
        <v>0</v>
      </c>
      <c r="S474" s="63">
        <f t="shared" si="37"/>
        <v>112.2</v>
      </c>
    </row>
    <row r="475" spans="1:19" x14ac:dyDescent="0.25">
      <c r="A475" s="116" t="s">
        <v>2010</v>
      </c>
      <c r="B475" s="116" t="s">
        <v>2011</v>
      </c>
      <c r="C475" s="117">
        <v>315</v>
      </c>
      <c r="D475" s="91" t="s">
        <v>2012</v>
      </c>
      <c r="E475" s="91" t="s">
        <v>19</v>
      </c>
      <c r="F475" s="121">
        <v>41508</v>
      </c>
      <c r="G475" s="118">
        <f>1960.96+182.6+118+539.5</f>
        <v>2801.06</v>
      </c>
      <c r="H475" s="72"/>
      <c r="I475" s="120">
        <f>1125+173</f>
        <v>1298</v>
      </c>
      <c r="J475" s="72"/>
      <c r="K475" s="72"/>
      <c r="L475" s="72"/>
      <c r="M475" s="72"/>
      <c r="N475" s="72"/>
      <c r="O475" s="72"/>
      <c r="P475" s="72"/>
      <c r="Q475" s="63">
        <f t="shared" si="38"/>
        <v>1346.5</v>
      </c>
      <c r="R475" s="72">
        <f t="shared" si="36"/>
        <v>0</v>
      </c>
      <c r="S475" s="63">
        <f t="shared" si="37"/>
        <v>1346.5</v>
      </c>
    </row>
    <row r="476" spans="1:19" x14ac:dyDescent="0.25">
      <c r="A476" s="116" t="s">
        <v>2010</v>
      </c>
      <c r="B476" s="116" t="s">
        <v>2011</v>
      </c>
      <c r="C476" s="117">
        <v>315</v>
      </c>
      <c r="D476" s="91" t="s">
        <v>2013</v>
      </c>
      <c r="E476" s="91" t="s">
        <v>19</v>
      </c>
      <c r="F476" s="121">
        <v>41508</v>
      </c>
      <c r="G476" s="118">
        <v>131.91999999999999</v>
      </c>
      <c r="H476" s="72"/>
      <c r="I476" s="73"/>
      <c r="J476" s="72"/>
      <c r="K476" s="72"/>
      <c r="L476" s="72"/>
      <c r="M476" s="72"/>
      <c r="N476" s="72"/>
      <c r="O476" s="72"/>
      <c r="P476" s="72"/>
      <c r="Q476" s="63">
        <f t="shared" si="38"/>
        <v>2801.06</v>
      </c>
      <c r="R476" s="72">
        <f t="shared" si="36"/>
        <v>0</v>
      </c>
      <c r="S476" s="63">
        <f t="shared" si="37"/>
        <v>2801.06</v>
      </c>
    </row>
    <row r="477" spans="1:19" x14ac:dyDescent="0.25">
      <c r="A477" s="116" t="s">
        <v>2014</v>
      </c>
      <c r="B477" s="116" t="s">
        <v>2015</v>
      </c>
      <c r="C477" s="117">
        <v>316</v>
      </c>
      <c r="D477" s="91" t="s">
        <v>2016</v>
      </c>
      <c r="E477" s="91" t="s">
        <v>19</v>
      </c>
      <c r="F477" s="121">
        <v>41535</v>
      </c>
      <c r="G477" s="118">
        <f>757.08+152.75+47.2</f>
        <v>957.03000000000009</v>
      </c>
      <c r="H477" s="72"/>
      <c r="I477" s="73"/>
      <c r="J477" s="72"/>
      <c r="K477" s="72"/>
      <c r="L477" s="72"/>
      <c r="M477" s="72"/>
      <c r="N477" s="72"/>
      <c r="O477" s="72"/>
      <c r="P477" s="72"/>
      <c r="Q477" s="63">
        <f t="shared" si="38"/>
        <v>131.91999999999999</v>
      </c>
      <c r="R477" s="72">
        <f t="shared" si="36"/>
        <v>0</v>
      </c>
      <c r="S477" s="63">
        <f t="shared" si="37"/>
        <v>131.91999999999999</v>
      </c>
    </row>
    <row r="478" spans="1:19" x14ac:dyDescent="0.25">
      <c r="A478" s="116" t="s">
        <v>2017</v>
      </c>
      <c r="B478" s="116" t="s">
        <v>2018</v>
      </c>
      <c r="C478" s="117">
        <v>317</v>
      </c>
      <c r="D478" s="91" t="s">
        <v>2019</v>
      </c>
      <c r="E478" s="91" t="s">
        <v>19</v>
      </c>
      <c r="F478" s="121">
        <v>41513</v>
      </c>
      <c r="G478" s="118">
        <f>1416.81+144.9</f>
        <v>1561.71</v>
      </c>
      <c r="H478" s="72"/>
      <c r="I478" s="73"/>
      <c r="J478" s="72"/>
      <c r="K478" s="72"/>
      <c r="L478" s="72"/>
      <c r="M478" s="72"/>
      <c r="N478" s="72"/>
      <c r="O478" s="72"/>
      <c r="P478" s="72"/>
      <c r="Q478" s="63">
        <f t="shared" si="38"/>
        <v>957.03000000000009</v>
      </c>
      <c r="R478" s="72">
        <f t="shared" si="36"/>
        <v>0</v>
      </c>
      <c r="S478" s="63">
        <f t="shared" si="37"/>
        <v>957.03000000000009</v>
      </c>
    </row>
    <row r="479" spans="1:19" x14ac:dyDescent="0.25">
      <c r="A479" s="116" t="s">
        <v>2020</v>
      </c>
      <c r="B479" s="116" t="s">
        <v>2021</v>
      </c>
      <c r="C479" s="117">
        <v>318</v>
      </c>
      <c r="D479" s="91" t="s">
        <v>2022</v>
      </c>
      <c r="E479" s="91" t="s">
        <v>19</v>
      </c>
      <c r="F479" s="121">
        <v>41499</v>
      </c>
      <c r="G479" s="118">
        <f>3631.98+191.8+49.91+47.2+1161.44</f>
        <v>5082.33</v>
      </c>
      <c r="H479" s="72"/>
      <c r="I479" s="73"/>
      <c r="J479" s="72"/>
      <c r="K479" s="72"/>
      <c r="L479" s="72"/>
      <c r="M479" s="72"/>
      <c r="N479" s="72"/>
      <c r="O479" s="72"/>
      <c r="P479" s="72"/>
      <c r="Q479" s="63">
        <f t="shared" si="38"/>
        <v>1561.71</v>
      </c>
      <c r="R479" s="72">
        <f t="shared" si="36"/>
        <v>0</v>
      </c>
      <c r="S479" s="63">
        <f t="shared" si="37"/>
        <v>1561.71</v>
      </c>
    </row>
    <row r="480" spans="1:19" x14ac:dyDescent="0.25">
      <c r="A480" s="116" t="s">
        <v>2020</v>
      </c>
      <c r="B480" s="116" t="s">
        <v>2021</v>
      </c>
      <c r="C480" s="117">
        <v>318</v>
      </c>
      <c r="D480" s="91" t="s">
        <v>2023</v>
      </c>
      <c r="E480" s="91" t="s">
        <v>19</v>
      </c>
      <c r="F480" s="121">
        <v>41499</v>
      </c>
      <c r="G480" s="77"/>
      <c r="H480" s="72"/>
      <c r="I480" s="73"/>
      <c r="J480" s="72"/>
      <c r="K480" s="72"/>
      <c r="L480" s="72"/>
      <c r="M480" s="72"/>
      <c r="N480" s="72"/>
      <c r="O480" s="72"/>
      <c r="P480" s="72"/>
      <c r="Q480" s="63">
        <f t="shared" si="38"/>
        <v>5082.33</v>
      </c>
      <c r="R480" s="72">
        <f t="shared" si="36"/>
        <v>0</v>
      </c>
      <c r="S480" s="63">
        <f t="shared" si="37"/>
        <v>5082.33</v>
      </c>
    </row>
    <row r="481" spans="1:19" x14ac:dyDescent="0.25">
      <c r="A481" s="116" t="s">
        <v>2020</v>
      </c>
      <c r="B481" s="116" t="s">
        <v>2021</v>
      </c>
      <c r="C481" s="117">
        <v>318</v>
      </c>
      <c r="D481" s="91" t="s">
        <v>2024</v>
      </c>
      <c r="E481" s="91" t="s">
        <v>19</v>
      </c>
      <c r="F481" s="121">
        <v>41499</v>
      </c>
      <c r="G481" s="118">
        <v>248.3</v>
      </c>
      <c r="H481" s="72"/>
      <c r="I481" s="73"/>
      <c r="J481" s="72"/>
      <c r="K481" s="72"/>
      <c r="L481" s="72"/>
      <c r="M481" s="72"/>
      <c r="N481" s="72"/>
      <c r="O481" s="72"/>
      <c r="P481" s="72"/>
      <c r="Q481" s="63">
        <f t="shared" si="36"/>
        <v>248.3</v>
      </c>
      <c r="R481" s="72">
        <f t="shared" si="36"/>
        <v>0</v>
      </c>
      <c r="S481" s="63">
        <f t="shared" si="37"/>
        <v>248.3</v>
      </c>
    </row>
    <row r="482" spans="1:19" x14ac:dyDescent="0.25">
      <c r="A482" s="116" t="s">
        <v>2025</v>
      </c>
      <c r="B482" s="116" t="s">
        <v>2026</v>
      </c>
      <c r="C482" s="117">
        <v>319</v>
      </c>
      <c r="D482" s="91" t="s">
        <v>2027</v>
      </c>
      <c r="E482" s="91" t="s">
        <v>19</v>
      </c>
      <c r="F482" s="121">
        <v>41520</v>
      </c>
      <c r="G482" s="118">
        <f>28.1+47.2+218.6</f>
        <v>293.89999999999998</v>
      </c>
      <c r="H482" s="72"/>
      <c r="I482" s="120">
        <v>375</v>
      </c>
      <c r="J482" s="72"/>
      <c r="K482" s="72"/>
      <c r="L482" s="72"/>
      <c r="M482" s="72"/>
      <c r="N482" s="72"/>
      <c r="O482" s="72"/>
      <c r="P482" s="72"/>
      <c r="Q482" s="63">
        <f t="shared" si="36"/>
        <v>668.9</v>
      </c>
      <c r="R482" s="72">
        <f t="shared" si="36"/>
        <v>0</v>
      </c>
      <c r="S482" s="63">
        <f t="shared" si="37"/>
        <v>668.9</v>
      </c>
    </row>
    <row r="483" spans="1:19" x14ac:dyDescent="0.25">
      <c r="A483" s="116" t="s">
        <v>2028</v>
      </c>
      <c r="B483" s="116" t="s">
        <v>2029</v>
      </c>
      <c r="C483" s="117">
        <v>320</v>
      </c>
      <c r="D483" s="91" t="s">
        <v>2030</v>
      </c>
      <c r="E483" s="91" t="s">
        <v>19</v>
      </c>
      <c r="F483" s="121">
        <v>41480</v>
      </c>
      <c r="G483" s="118"/>
      <c r="H483" s="72"/>
      <c r="I483" s="72"/>
      <c r="J483" s="72"/>
      <c r="K483" s="72"/>
      <c r="L483" s="72"/>
      <c r="M483" s="123">
        <v>2500</v>
      </c>
      <c r="N483" s="72"/>
      <c r="O483" s="123">
        <v>14800</v>
      </c>
      <c r="P483" s="72"/>
      <c r="Q483" s="63">
        <f t="shared" si="36"/>
        <v>17300</v>
      </c>
      <c r="R483" s="72">
        <f t="shared" si="36"/>
        <v>0</v>
      </c>
      <c r="S483" s="63">
        <f t="shared" si="37"/>
        <v>17300</v>
      </c>
    </row>
    <row r="484" spans="1:19" x14ac:dyDescent="0.25">
      <c r="A484" s="116" t="s">
        <v>2028</v>
      </c>
      <c r="B484" s="116" t="s">
        <v>2029</v>
      </c>
      <c r="C484" s="117">
        <v>320</v>
      </c>
      <c r="D484" s="91" t="s">
        <v>2031</v>
      </c>
      <c r="E484" s="91" t="s">
        <v>19</v>
      </c>
      <c r="F484" s="121">
        <v>41480</v>
      </c>
      <c r="G484" s="122"/>
      <c r="H484" s="72"/>
      <c r="I484" s="72"/>
      <c r="J484" s="72"/>
      <c r="K484" s="72"/>
      <c r="L484" s="72"/>
      <c r="M484" s="72"/>
      <c r="N484" s="72"/>
      <c r="O484" s="72"/>
      <c r="P484" s="72"/>
      <c r="Q484" s="63">
        <f t="shared" si="36"/>
        <v>0</v>
      </c>
      <c r="R484" s="72">
        <f t="shared" si="36"/>
        <v>0</v>
      </c>
      <c r="S484" s="63">
        <f t="shared" si="37"/>
        <v>0</v>
      </c>
    </row>
    <row r="485" spans="1:19" x14ac:dyDescent="0.25">
      <c r="A485" s="116" t="s">
        <v>2028</v>
      </c>
      <c r="B485" s="116" t="s">
        <v>2029</v>
      </c>
      <c r="C485" s="117">
        <v>320</v>
      </c>
      <c r="D485" s="91" t="s">
        <v>2032</v>
      </c>
      <c r="E485" s="91" t="s">
        <v>19</v>
      </c>
      <c r="F485" s="121">
        <v>41480</v>
      </c>
      <c r="G485" s="118"/>
      <c r="H485" s="72"/>
      <c r="I485" s="72"/>
      <c r="J485" s="72"/>
      <c r="K485" s="72"/>
      <c r="L485" s="72"/>
      <c r="M485" s="72"/>
      <c r="N485" s="72"/>
      <c r="O485" s="72"/>
      <c r="P485" s="72"/>
      <c r="Q485" s="63">
        <f t="shared" si="36"/>
        <v>0</v>
      </c>
      <c r="R485" s="72">
        <f t="shared" si="36"/>
        <v>0</v>
      </c>
      <c r="S485" s="63">
        <f t="shared" si="37"/>
        <v>0</v>
      </c>
    </row>
    <row r="486" spans="1:19" x14ac:dyDescent="0.25">
      <c r="A486" s="116" t="s">
        <v>2028</v>
      </c>
      <c r="B486" s="116" t="s">
        <v>2029</v>
      </c>
      <c r="C486" s="117">
        <v>320</v>
      </c>
      <c r="D486" s="91" t="s">
        <v>2033</v>
      </c>
      <c r="E486" s="91" t="s">
        <v>19</v>
      </c>
      <c r="F486" s="121">
        <v>41480</v>
      </c>
      <c r="G486" s="118"/>
      <c r="H486" s="72"/>
      <c r="I486" s="72"/>
      <c r="J486" s="72"/>
      <c r="K486" s="72"/>
      <c r="L486" s="72"/>
      <c r="M486" s="72"/>
      <c r="N486" s="72"/>
      <c r="O486" s="72"/>
      <c r="P486" s="72"/>
      <c r="Q486" s="63">
        <f t="shared" si="36"/>
        <v>0</v>
      </c>
      <c r="R486" s="72">
        <f t="shared" si="36"/>
        <v>0</v>
      </c>
      <c r="S486" s="63">
        <f t="shared" si="37"/>
        <v>0</v>
      </c>
    </row>
    <row r="487" spans="1:19" x14ac:dyDescent="0.25">
      <c r="A487" s="116" t="s">
        <v>2028</v>
      </c>
      <c r="B487" s="116" t="s">
        <v>2029</v>
      </c>
      <c r="C487" s="117">
        <v>320</v>
      </c>
      <c r="D487" s="91" t="s">
        <v>2034</v>
      </c>
      <c r="E487" s="91" t="s">
        <v>19</v>
      </c>
      <c r="F487" s="121">
        <v>41480</v>
      </c>
      <c r="G487" s="118">
        <f>1779</f>
        <v>1779</v>
      </c>
      <c r="H487" s="72"/>
      <c r="I487" s="120">
        <v>1500</v>
      </c>
      <c r="J487" s="72"/>
      <c r="K487" s="72"/>
      <c r="L487" s="72"/>
      <c r="M487" s="72"/>
      <c r="N487" s="72"/>
      <c r="O487" s="72"/>
      <c r="P487" s="72"/>
      <c r="Q487" s="63">
        <f t="shared" ref="Q487:R489" si="39">+G487+I487+K487+M487+O487</f>
        <v>3279</v>
      </c>
      <c r="R487" s="72">
        <f t="shared" si="39"/>
        <v>0</v>
      </c>
      <c r="S487" s="63">
        <f>+Q487+R487</f>
        <v>3279</v>
      </c>
    </row>
    <row r="488" spans="1:19" x14ac:dyDescent="0.25">
      <c r="A488" s="116" t="s">
        <v>2028</v>
      </c>
      <c r="B488" s="116" t="s">
        <v>2029</v>
      </c>
      <c r="C488" s="117">
        <v>320</v>
      </c>
      <c r="D488" s="91" t="s">
        <v>2035</v>
      </c>
      <c r="E488" s="91" t="s">
        <v>19</v>
      </c>
      <c r="F488" s="121">
        <v>41480</v>
      </c>
      <c r="G488" s="77"/>
      <c r="H488" s="72"/>
      <c r="I488" s="73"/>
      <c r="J488" s="72"/>
      <c r="K488" s="72"/>
      <c r="L488" s="72"/>
      <c r="M488" s="72"/>
      <c r="N488" s="72"/>
      <c r="O488" s="72"/>
      <c r="P488" s="72"/>
      <c r="Q488" s="63">
        <f t="shared" si="39"/>
        <v>0</v>
      </c>
      <c r="R488" s="72">
        <f t="shared" si="39"/>
        <v>0</v>
      </c>
      <c r="S488" s="63">
        <f>+Q488+R488</f>
        <v>0</v>
      </c>
    </row>
    <row r="489" spans="1:19" x14ac:dyDescent="0.25">
      <c r="A489" s="116" t="s">
        <v>2036</v>
      </c>
      <c r="B489" s="116" t="s">
        <v>2037</v>
      </c>
      <c r="C489" s="117">
        <v>321</v>
      </c>
      <c r="D489" s="91" t="s">
        <v>2038</v>
      </c>
      <c r="E489" s="91" t="s">
        <v>19</v>
      </c>
      <c r="F489" s="121">
        <v>41505</v>
      </c>
      <c r="G489" s="118">
        <v>3123.01</v>
      </c>
      <c r="H489" s="72"/>
      <c r="I489" s="120">
        <f>750+1500+750</f>
        <v>3000</v>
      </c>
      <c r="J489" s="72"/>
      <c r="K489" s="72"/>
      <c r="L489" s="72"/>
      <c r="M489" s="72"/>
      <c r="N489" s="72"/>
      <c r="O489" s="72"/>
      <c r="P489" s="72"/>
      <c r="Q489" s="63">
        <f t="shared" si="39"/>
        <v>6123.01</v>
      </c>
      <c r="R489" s="72">
        <f t="shared" si="39"/>
        <v>0</v>
      </c>
      <c r="S489" s="63">
        <f>+Q489+R489</f>
        <v>6123.01</v>
      </c>
    </row>
    <row r="490" spans="1:19" x14ac:dyDescent="0.25">
      <c r="A490" s="116" t="s">
        <v>2039</v>
      </c>
      <c r="B490" s="116" t="s">
        <v>2040</v>
      </c>
      <c r="C490" s="117">
        <v>322</v>
      </c>
      <c r="D490" s="91" t="s">
        <v>2041</v>
      </c>
      <c r="E490" s="91" t="s">
        <v>19</v>
      </c>
      <c r="F490" s="121">
        <v>41505</v>
      </c>
      <c r="G490" s="118">
        <v>390</v>
      </c>
      <c r="H490" s="72"/>
      <c r="I490" s="73"/>
      <c r="J490" s="72"/>
      <c r="K490" s="72"/>
      <c r="L490" s="72"/>
      <c r="M490" s="72"/>
      <c r="N490" s="72"/>
      <c r="O490" s="72"/>
      <c r="P490" s="72"/>
      <c r="Q490" s="63">
        <f t="shared" ref="Q490:Q497" si="40">+G489+I490+K490+M490+O490</f>
        <v>3123.01</v>
      </c>
      <c r="R490" s="72">
        <f t="shared" si="36"/>
        <v>0</v>
      </c>
      <c r="S490" s="63">
        <f t="shared" si="37"/>
        <v>3123.01</v>
      </c>
    </row>
    <row r="491" spans="1:19" x14ac:dyDescent="0.25">
      <c r="A491" s="116" t="s">
        <v>2039</v>
      </c>
      <c r="B491" s="116" t="s">
        <v>2040</v>
      </c>
      <c r="C491" s="117">
        <v>322</v>
      </c>
      <c r="D491" s="91" t="s">
        <v>2042</v>
      </c>
      <c r="E491" s="91" t="s">
        <v>19</v>
      </c>
      <c r="F491" s="121">
        <v>41505</v>
      </c>
      <c r="G491" s="118">
        <f>238+260+238+70</f>
        <v>806</v>
      </c>
      <c r="H491" s="72"/>
      <c r="I491" s="73"/>
      <c r="J491" s="72"/>
      <c r="K491" s="72"/>
      <c r="L491" s="72"/>
      <c r="M491" s="72"/>
      <c r="N491" s="72"/>
      <c r="O491" s="72"/>
      <c r="P491" s="72"/>
      <c r="Q491" s="63">
        <f t="shared" si="40"/>
        <v>390</v>
      </c>
      <c r="R491" s="72">
        <f t="shared" si="36"/>
        <v>0</v>
      </c>
      <c r="S491" s="63">
        <f t="shared" si="37"/>
        <v>390</v>
      </c>
    </row>
    <row r="492" spans="1:19" x14ac:dyDescent="0.25">
      <c r="A492" s="116" t="s">
        <v>2039</v>
      </c>
      <c r="B492" s="116" t="s">
        <v>2040</v>
      </c>
      <c r="C492" s="117">
        <v>322</v>
      </c>
      <c r="D492" s="91" t="s">
        <v>2043</v>
      </c>
      <c r="E492" s="91" t="s">
        <v>19</v>
      </c>
      <c r="F492" s="121">
        <v>41505</v>
      </c>
      <c r="G492" s="118">
        <f>192.1</f>
        <v>192.1</v>
      </c>
      <c r="H492" s="72"/>
      <c r="I492" s="73"/>
      <c r="J492" s="72"/>
      <c r="K492" s="72"/>
      <c r="L492" s="72"/>
      <c r="M492" s="72"/>
      <c r="N492" s="72"/>
      <c r="O492" s="72"/>
      <c r="P492" s="72"/>
      <c r="Q492" s="63">
        <f t="shared" si="40"/>
        <v>806</v>
      </c>
      <c r="R492" s="72">
        <f t="shared" si="36"/>
        <v>0</v>
      </c>
      <c r="S492" s="63">
        <f t="shared" si="37"/>
        <v>806</v>
      </c>
    </row>
    <row r="493" spans="1:19" x14ac:dyDescent="0.25">
      <c r="A493" s="116" t="s">
        <v>2039</v>
      </c>
      <c r="B493" s="116" t="s">
        <v>2040</v>
      </c>
      <c r="C493" s="117">
        <v>322</v>
      </c>
      <c r="D493" s="91" t="s">
        <v>2044</v>
      </c>
      <c r="E493" s="91" t="s">
        <v>19</v>
      </c>
      <c r="F493" s="121">
        <v>41505</v>
      </c>
      <c r="G493" s="118">
        <f>320+335+335</f>
        <v>990</v>
      </c>
      <c r="H493" s="72"/>
      <c r="I493" s="73"/>
      <c r="J493" s="72"/>
      <c r="K493" s="72"/>
      <c r="L493" s="72"/>
      <c r="M493" s="72"/>
      <c r="N493" s="72"/>
      <c r="O493" s="72"/>
      <c r="P493" s="72"/>
      <c r="Q493" s="63">
        <f t="shared" si="40"/>
        <v>192.1</v>
      </c>
      <c r="R493" s="72">
        <f t="shared" si="36"/>
        <v>0</v>
      </c>
      <c r="S493" s="63">
        <f t="shared" si="37"/>
        <v>192.1</v>
      </c>
    </row>
    <row r="494" spans="1:19" x14ac:dyDescent="0.25">
      <c r="A494" s="116" t="s">
        <v>2045</v>
      </c>
      <c r="B494" s="116" t="s">
        <v>2046</v>
      </c>
      <c r="C494" s="117">
        <v>323</v>
      </c>
      <c r="D494" s="91" t="s">
        <v>2047</v>
      </c>
      <c r="E494" s="91" t="s">
        <v>19</v>
      </c>
      <c r="F494" s="121">
        <v>41505</v>
      </c>
      <c r="G494" s="118">
        <v>374.4</v>
      </c>
      <c r="H494" s="72"/>
      <c r="I494" s="120">
        <v>125</v>
      </c>
      <c r="J494" s="72"/>
      <c r="K494" s="72"/>
      <c r="L494" s="72"/>
      <c r="M494" s="72"/>
      <c r="N494" s="72"/>
      <c r="O494" s="72"/>
      <c r="P494" s="72"/>
      <c r="Q494" s="63">
        <f t="shared" si="40"/>
        <v>1115</v>
      </c>
      <c r="R494" s="72">
        <f t="shared" si="36"/>
        <v>0</v>
      </c>
      <c r="S494" s="63">
        <f t="shared" si="37"/>
        <v>1115</v>
      </c>
    </row>
    <row r="495" spans="1:19" x14ac:dyDescent="0.25">
      <c r="A495" s="116" t="s">
        <v>2048</v>
      </c>
      <c r="B495" s="116" t="s">
        <v>2049</v>
      </c>
      <c r="C495" s="117">
        <v>324</v>
      </c>
      <c r="D495" s="91" t="s">
        <v>2050</v>
      </c>
      <c r="E495" s="91" t="s">
        <v>19</v>
      </c>
      <c r="F495" s="121">
        <v>41505</v>
      </c>
      <c r="G495" s="118">
        <f>320+293.6</f>
        <v>613.6</v>
      </c>
      <c r="H495" s="72"/>
      <c r="I495" s="72"/>
      <c r="J495" s="72"/>
      <c r="K495" s="72"/>
      <c r="L495" s="72"/>
      <c r="M495" s="72"/>
      <c r="N495" s="72"/>
      <c r="O495" s="72"/>
      <c r="P495" s="72"/>
      <c r="Q495" s="63">
        <f t="shared" si="40"/>
        <v>374.4</v>
      </c>
      <c r="R495" s="72">
        <f t="shared" si="36"/>
        <v>0</v>
      </c>
      <c r="S495" s="63">
        <f t="shared" si="37"/>
        <v>374.4</v>
      </c>
    </row>
    <row r="496" spans="1:19" x14ac:dyDescent="0.25">
      <c r="A496" s="116" t="s">
        <v>2048</v>
      </c>
      <c r="B496" s="116" t="s">
        <v>2049</v>
      </c>
      <c r="C496" s="117">
        <v>324</v>
      </c>
      <c r="D496" s="91" t="s">
        <v>2051</v>
      </c>
      <c r="E496" s="91" t="s">
        <v>19</v>
      </c>
      <c r="F496" s="121">
        <v>41505</v>
      </c>
      <c r="G496" s="118">
        <v>320</v>
      </c>
      <c r="H496" s="72"/>
      <c r="I496" s="72"/>
      <c r="J496" s="72"/>
      <c r="K496" s="72"/>
      <c r="L496" s="72"/>
      <c r="M496" s="72"/>
      <c r="N496" s="72"/>
      <c r="O496" s="72"/>
      <c r="P496" s="72"/>
      <c r="Q496" s="63">
        <f t="shared" si="40"/>
        <v>613.6</v>
      </c>
      <c r="R496" s="72">
        <f t="shared" si="36"/>
        <v>0</v>
      </c>
      <c r="S496" s="63">
        <f t="shared" si="37"/>
        <v>613.6</v>
      </c>
    </row>
    <row r="497" spans="1:19" x14ac:dyDescent="0.25">
      <c r="A497" s="116" t="s">
        <v>2048</v>
      </c>
      <c r="B497" s="116" t="s">
        <v>2049</v>
      </c>
      <c r="C497" s="117">
        <v>324</v>
      </c>
      <c r="D497" s="91" t="s">
        <v>2052</v>
      </c>
      <c r="E497" s="91" t="s">
        <v>19</v>
      </c>
      <c r="F497" s="121">
        <v>41505</v>
      </c>
      <c r="G497" s="126">
        <v>50</v>
      </c>
      <c r="H497" s="72"/>
      <c r="I497" s="72"/>
      <c r="J497" s="72"/>
      <c r="K497" s="72"/>
      <c r="L497" s="72"/>
      <c r="M497" s="72"/>
      <c r="N497" s="72"/>
      <c r="O497" s="72"/>
      <c r="P497" s="72"/>
      <c r="Q497" s="63">
        <f t="shared" si="40"/>
        <v>320</v>
      </c>
      <c r="R497" s="72">
        <f t="shared" si="36"/>
        <v>0</v>
      </c>
      <c r="S497" s="63">
        <f t="shared" si="37"/>
        <v>320</v>
      </c>
    </row>
    <row r="498" spans="1:19" x14ac:dyDescent="0.25">
      <c r="A498" s="116" t="s">
        <v>2053</v>
      </c>
      <c r="B498" s="116" t="s">
        <v>2054</v>
      </c>
      <c r="C498" s="117">
        <v>325</v>
      </c>
      <c r="D498" s="91" t="s">
        <v>2055</v>
      </c>
      <c r="E498" s="91" t="s">
        <v>19</v>
      </c>
      <c r="F498" s="121">
        <v>41505</v>
      </c>
      <c r="G498" s="118">
        <f>238+135</f>
        <v>373</v>
      </c>
      <c r="H498" s="72"/>
      <c r="I498" s="72"/>
      <c r="J498" s="72"/>
      <c r="K498" s="72"/>
      <c r="L498" s="72"/>
      <c r="M498" s="72"/>
      <c r="N498" s="72"/>
      <c r="O498" s="72"/>
      <c r="P498" s="72"/>
      <c r="Q498" s="63">
        <f>+G497+I498+K498+M498+O498</f>
        <v>50</v>
      </c>
      <c r="R498" s="72">
        <f>+H498+J498+L498+N498+P498</f>
        <v>0</v>
      </c>
      <c r="S498" s="63">
        <f>+Q498+R498</f>
        <v>50</v>
      </c>
    </row>
    <row r="499" spans="1:19" x14ac:dyDescent="0.25">
      <c r="A499" s="116" t="s">
        <v>2053</v>
      </c>
      <c r="B499" s="116" t="s">
        <v>2054</v>
      </c>
      <c r="C499" s="117">
        <v>325</v>
      </c>
      <c r="D499" s="91" t="s">
        <v>2056</v>
      </c>
      <c r="E499" s="91" t="s">
        <v>19</v>
      </c>
      <c r="F499" s="121">
        <v>41505</v>
      </c>
      <c r="G499" s="118">
        <f>105</f>
        <v>105</v>
      </c>
      <c r="H499" s="72"/>
      <c r="I499" s="72"/>
      <c r="J499" s="72"/>
      <c r="K499" s="72"/>
      <c r="L499" s="72"/>
      <c r="M499" s="72"/>
      <c r="N499" s="72"/>
      <c r="O499" s="72"/>
      <c r="P499" s="72"/>
      <c r="Q499" s="63">
        <f t="shared" ref="Q499:Q529" si="41">+G498+I499+K499+M499+O499</f>
        <v>373</v>
      </c>
      <c r="R499" s="72">
        <f t="shared" si="36"/>
        <v>0</v>
      </c>
      <c r="S499" s="63">
        <f t="shared" si="37"/>
        <v>373</v>
      </c>
    </row>
    <row r="500" spans="1:19" x14ac:dyDescent="0.25">
      <c r="A500" s="116" t="s">
        <v>2053</v>
      </c>
      <c r="B500" s="116" t="s">
        <v>2054</v>
      </c>
      <c r="C500" s="117">
        <v>325</v>
      </c>
      <c r="D500" s="91" t="s">
        <v>2057</v>
      </c>
      <c r="E500" s="91" t="s">
        <v>19</v>
      </c>
      <c r="F500" s="121">
        <v>41505</v>
      </c>
      <c r="G500" s="118">
        <f>105</f>
        <v>105</v>
      </c>
      <c r="H500" s="72"/>
      <c r="I500" s="72"/>
      <c r="J500" s="72"/>
      <c r="K500" s="72"/>
      <c r="L500" s="72"/>
      <c r="M500" s="72"/>
      <c r="N500" s="72"/>
      <c r="O500" s="72"/>
      <c r="P500" s="72"/>
      <c r="Q500" s="63">
        <f t="shared" si="41"/>
        <v>105</v>
      </c>
      <c r="R500" s="72">
        <f t="shared" si="36"/>
        <v>0</v>
      </c>
      <c r="S500" s="63">
        <f t="shared" si="37"/>
        <v>105</v>
      </c>
    </row>
    <row r="501" spans="1:19" x14ac:dyDescent="0.25">
      <c r="A501" s="116" t="s">
        <v>2053</v>
      </c>
      <c r="B501" s="116" t="s">
        <v>2054</v>
      </c>
      <c r="C501" s="117">
        <v>325</v>
      </c>
      <c r="D501" s="91" t="s">
        <v>2058</v>
      </c>
      <c r="E501" s="91" t="s">
        <v>19</v>
      </c>
      <c r="F501" s="121">
        <v>41505</v>
      </c>
      <c r="G501" s="118">
        <v>149</v>
      </c>
      <c r="H501" s="72"/>
      <c r="I501" s="72"/>
      <c r="J501" s="72"/>
      <c r="K501" s="72"/>
      <c r="L501" s="72"/>
      <c r="M501" s="72"/>
      <c r="N501" s="72"/>
      <c r="O501" s="72"/>
      <c r="P501" s="72"/>
      <c r="Q501" s="63">
        <f t="shared" si="41"/>
        <v>105</v>
      </c>
      <c r="R501" s="72">
        <f t="shared" si="36"/>
        <v>0</v>
      </c>
      <c r="S501" s="63">
        <f t="shared" si="37"/>
        <v>105</v>
      </c>
    </row>
    <row r="502" spans="1:19" x14ac:dyDescent="0.25">
      <c r="A502" s="116" t="s">
        <v>2059</v>
      </c>
      <c r="B502" s="116" t="s">
        <v>2060</v>
      </c>
      <c r="C502" s="117">
        <v>326</v>
      </c>
      <c r="D502" s="91" t="s">
        <v>2061</v>
      </c>
      <c r="E502" s="91" t="s">
        <v>19</v>
      </c>
      <c r="F502" s="121">
        <v>41464</v>
      </c>
      <c r="G502" s="118">
        <v>140.88999999999999</v>
      </c>
      <c r="H502" s="72"/>
      <c r="I502" s="72"/>
      <c r="J502" s="72"/>
      <c r="K502" s="72"/>
      <c r="L502" s="72"/>
      <c r="M502" s="72"/>
      <c r="N502" s="72"/>
      <c r="O502" s="72"/>
      <c r="P502" s="72"/>
      <c r="Q502" s="63">
        <f t="shared" si="41"/>
        <v>149</v>
      </c>
      <c r="R502" s="72">
        <f t="shared" si="36"/>
        <v>0</v>
      </c>
      <c r="S502" s="63">
        <f t="shared" si="37"/>
        <v>149</v>
      </c>
    </row>
    <row r="503" spans="1:19" x14ac:dyDescent="0.25">
      <c r="A503" s="116" t="s">
        <v>2062</v>
      </c>
      <c r="B503" s="116" t="s">
        <v>2063</v>
      </c>
      <c r="C503" s="117">
        <v>327</v>
      </c>
      <c r="D503" s="91" t="s">
        <v>2064</v>
      </c>
      <c r="E503" s="91" t="s">
        <v>19</v>
      </c>
      <c r="F503" s="121">
        <v>41464</v>
      </c>
      <c r="G503" s="118">
        <v>137.83000000000001</v>
      </c>
      <c r="H503" s="72"/>
      <c r="I503" s="72"/>
      <c r="J503" s="72"/>
      <c r="K503" s="72"/>
      <c r="L503" s="72"/>
      <c r="M503" s="72"/>
      <c r="N503" s="72"/>
      <c r="O503" s="72"/>
      <c r="P503" s="72"/>
      <c r="Q503" s="63">
        <f t="shared" si="41"/>
        <v>140.88999999999999</v>
      </c>
      <c r="R503" s="72">
        <f t="shared" si="36"/>
        <v>0</v>
      </c>
      <c r="S503" s="63">
        <f t="shared" si="37"/>
        <v>140.88999999999999</v>
      </c>
    </row>
    <row r="504" spans="1:19" x14ac:dyDescent="0.25">
      <c r="A504" s="116" t="s">
        <v>2065</v>
      </c>
      <c r="B504" s="116" t="s">
        <v>2066</v>
      </c>
      <c r="C504" s="117">
        <v>328</v>
      </c>
      <c r="D504" s="91" t="s">
        <v>2067</v>
      </c>
      <c r="E504" s="91" t="s">
        <v>2068</v>
      </c>
      <c r="F504" s="121">
        <v>41570</v>
      </c>
      <c r="G504" s="118">
        <f>156.93+454.22+63</f>
        <v>674.15000000000009</v>
      </c>
      <c r="H504" s="72"/>
      <c r="I504" s="72"/>
      <c r="J504" s="72"/>
      <c r="K504" s="72"/>
      <c r="L504" s="72"/>
      <c r="M504" s="72"/>
      <c r="N504" s="72"/>
      <c r="O504" s="72"/>
      <c r="P504" s="72"/>
      <c r="Q504" s="63">
        <f t="shared" si="41"/>
        <v>137.83000000000001</v>
      </c>
      <c r="R504" s="72">
        <f t="shared" si="36"/>
        <v>0</v>
      </c>
      <c r="S504" s="63">
        <f t="shared" si="37"/>
        <v>137.83000000000001</v>
      </c>
    </row>
    <row r="505" spans="1:19" x14ac:dyDescent="0.25">
      <c r="A505" s="116" t="s">
        <v>2065</v>
      </c>
      <c r="B505" s="116" t="s">
        <v>2066</v>
      </c>
      <c r="C505" s="117">
        <v>328</v>
      </c>
      <c r="D505" s="91" t="s">
        <v>2069</v>
      </c>
      <c r="E505" s="91" t="s">
        <v>2068</v>
      </c>
      <c r="F505" s="121">
        <v>41570</v>
      </c>
      <c r="G505" s="118">
        <v>222.24</v>
      </c>
      <c r="H505" s="72"/>
      <c r="I505" s="72"/>
      <c r="J505" s="72"/>
      <c r="K505" s="72"/>
      <c r="L505" s="72"/>
      <c r="M505" s="72"/>
      <c r="N505" s="72"/>
      <c r="O505" s="72"/>
      <c r="P505" s="72"/>
      <c r="Q505" s="63">
        <f t="shared" si="41"/>
        <v>674.15000000000009</v>
      </c>
      <c r="R505" s="72">
        <f t="shared" si="36"/>
        <v>0</v>
      </c>
      <c r="S505" s="63">
        <f t="shared" si="37"/>
        <v>674.15000000000009</v>
      </c>
    </row>
    <row r="506" spans="1:19" x14ac:dyDescent="0.25">
      <c r="A506" s="116" t="s">
        <v>2065</v>
      </c>
      <c r="B506" s="116" t="s">
        <v>2066</v>
      </c>
      <c r="C506" s="117">
        <v>328</v>
      </c>
      <c r="D506" s="91" t="s">
        <v>2070</v>
      </c>
      <c r="E506" s="91" t="s">
        <v>2068</v>
      </c>
      <c r="F506" s="121">
        <v>41570</v>
      </c>
      <c r="G506" s="118">
        <v>119.44</v>
      </c>
      <c r="H506" s="72"/>
      <c r="I506" s="72"/>
      <c r="J506" s="72"/>
      <c r="K506" s="72"/>
      <c r="L506" s="72"/>
      <c r="M506" s="72"/>
      <c r="N506" s="72"/>
      <c r="O506" s="72"/>
      <c r="P506" s="72"/>
      <c r="Q506" s="63">
        <f t="shared" si="41"/>
        <v>222.24</v>
      </c>
      <c r="R506" s="72">
        <f t="shared" si="36"/>
        <v>0</v>
      </c>
      <c r="S506" s="63">
        <f t="shared" si="37"/>
        <v>222.24</v>
      </c>
    </row>
    <row r="507" spans="1:19" x14ac:dyDescent="0.25">
      <c r="A507" s="116" t="s">
        <v>2071</v>
      </c>
      <c r="B507" s="116" t="s">
        <v>2072</v>
      </c>
      <c r="C507" s="117">
        <v>329</v>
      </c>
      <c r="D507" s="91" t="s">
        <v>2073</v>
      </c>
      <c r="E507" s="91" t="s">
        <v>19</v>
      </c>
      <c r="F507" s="121">
        <v>41613</v>
      </c>
      <c r="G507" s="118">
        <v>91.63</v>
      </c>
      <c r="H507" s="72"/>
      <c r="I507" s="72"/>
      <c r="J507" s="72"/>
      <c r="K507" s="72"/>
      <c r="L507" s="72"/>
      <c r="M507" s="72"/>
      <c r="N507" s="72"/>
      <c r="O507" s="72"/>
      <c r="P507" s="72"/>
      <c r="Q507" s="63">
        <f t="shared" si="41"/>
        <v>119.44</v>
      </c>
      <c r="R507" s="72">
        <f t="shared" si="36"/>
        <v>0</v>
      </c>
      <c r="S507" s="63">
        <f t="shared" si="37"/>
        <v>119.44</v>
      </c>
    </row>
    <row r="508" spans="1:19" x14ac:dyDescent="0.25">
      <c r="A508" s="116" t="s">
        <v>2074</v>
      </c>
      <c r="B508" s="116" t="s">
        <v>2075</v>
      </c>
      <c r="C508" s="117">
        <v>330</v>
      </c>
      <c r="D508" s="91" t="s">
        <v>2076</v>
      </c>
      <c r="E508" s="91" t="s">
        <v>19</v>
      </c>
      <c r="F508" s="121">
        <v>41558</v>
      </c>
      <c r="G508" s="118">
        <f>118.04</f>
        <v>118.04</v>
      </c>
      <c r="H508" s="72"/>
      <c r="I508" s="72"/>
      <c r="J508" s="72"/>
      <c r="K508" s="72"/>
      <c r="L508" s="72"/>
      <c r="M508" s="72"/>
      <c r="N508" s="72"/>
      <c r="O508" s="72"/>
      <c r="P508" s="72"/>
      <c r="Q508" s="63">
        <f t="shared" si="41"/>
        <v>91.63</v>
      </c>
      <c r="R508" s="72">
        <f t="shared" si="36"/>
        <v>0</v>
      </c>
      <c r="S508" s="63">
        <f t="shared" si="37"/>
        <v>91.63</v>
      </c>
    </row>
    <row r="509" spans="1:19" x14ac:dyDescent="0.25">
      <c r="A509" s="116" t="s">
        <v>1402</v>
      </c>
      <c r="B509" s="116" t="s">
        <v>1403</v>
      </c>
      <c r="C509" s="117">
        <v>331</v>
      </c>
      <c r="D509" s="91" t="s">
        <v>2077</v>
      </c>
      <c r="E509" s="91" t="s">
        <v>19</v>
      </c>
      <c r="F509" s="121">
        <v>41522</v>
      </c>
      <c r="G509" s="118">
        <f>81.26</f>
        <v>81.260000000000005</v>
      </c>
      <c r="H509" s="72"/>
      <c r="I509" s="120">
        <v>250</v>
      </c>
      <c r="J509" s="72"/>
      <c r="K509" s="72"/>
      <c r="L509" s="72"/>
      <c r="M509" s="72"/>
      <c r="N509" s="72"/>
      <c r="O509" s="72"/>
      <c r="P509" s="72"/>
      <c r="Q509" s="63">
        <f t="shared" si="41"/>
        <v>368.04</v>
      </c>
      <c r="R509" s="72">
        <f t="shared" si="36"/>
        <v>0</v>
      </c>
      <c r="S509" s="63">
        <f t="shared" si="37"/>
        <v>368.04</v>
      </c>
    </row>
    <row r="510" spans="1:19" x14ac:dyDescent="0.25">
      <c r="A510" s="116" t="s">
        <v>2078</v>
      </c>
      <c r="B510" s="116" t="s">
        <v>2079</v>
      </c>
      <c r="C510" s="117">
        <v>332</v>
      </c>
      <c r="D510" s="91" t="s">
        <v>2080</v>
      </c>
      <c r="E510" s="91" t="s">
        <v>19</v>
      </c>
      <c r="F510" s="121">
        <v>41536</v>
      </c>
      <c r="G510" s="118">
        <f>229.27</f>
        <v>229.27</v>
      </c>
      <c r="H510" s="72"/>
      <c r="I510" s="72"/>
      <c r="J510" s="72"/>
      <c r="K510" s="72"/>
      <c r="L510" s="72"/>
      <c r="M510" s="72"/>
      <c r="N510" s="72"/>
      <c r="O510" s="72"/>
      <c r="P510" s="72"/>
      <c r="Q510" s="63">
        <f t="shared" si="41"/>
        <v>81.260000000000005</v>
      </c>
      <c r="R510" s="72">
        <f t="shared" si="36"/>
        <v>0</v>
      </c>
      <c r="S510" s="63">
        <f t="shared" si="37"/>
        <v>81.260000000000005</v>
      </c>
    </row>
    <row r="511" spans="1:19" x14ac:dyDescent="0.25">
      <c r="A511" s="116" t="s">
        <v>2078</v>
      </c>
      <c r="B511" s="116" t="s">
        <v>2079</v>
      </c>
      <c r="C511" s="117">
        <v>332</v>
      </c>
      <c r="D511" s="91" t="s">
        <v>2081</v>
      </c>
      <c r="E511" s="91" t="s">
        <v>19</v>
      </c>
      <c r="F511" s="121">
        <v>41536</v>
      </c>
      <c r="G511" s="118">
        <f>126.25</f>
        <v>126.25</v>
      </c>
      <c r="H511" s="72"/>
      <c r="I511" s="72"/>
      <c r="J511" s="72"/>
      <c r="K511" s="72"/>
      <c r="L511" s="72"/>
      <c r="M511" s="72"/>
      <c r="N511" s="72"/>
      <c r="O511" s="72"/>
      <c r="P511" s="72"/>
      <c r="Q511" s="63">
        <f t="shared" si="41"/>
        <v>229.27</v>
      </c>
      <c r="R511" s="72">
        <f t="shared" si="36"/>
        <v>0</v>
      </c>
      <c r="S511" s="63">
        <f t="shared" si="37"/>
        <v>229.27</v>
      </c>
    </row>
    <row r="512" spans="1:19" x14ac:dyDescent="0.25">
      <c r="A512" s="116" t="s">
        <v>2078</v>
      </c>
      <c r="B512" s="116" t="s">
        <v>2079</v>
      </c>
      <c r="C512" s="117">
        <v>332</v>
      </c>
      <c r="D512" s="91" t="s">
        <v>2082</v>
      </c>
      <c r="E512" s="91" t="s">
        <v>19</v>
      </c>
      <c r="F512" s="121">
        <v>41536</v>
      </c>
      <c r="G512" s="118">
        <f>142.49</f>
        <v>142.49</v>
      </c>
      <c r="H512" s="72"/>
      <c r="I512" s="72"/>
      <c r="J512" s="72"/>
      <c r="K512" s="72"/>
      <c r="L512" s="72"/>
      <c r="M512" s="72"/>
      <c r="N512" s="72"/>
      <c r="O512" s="72"/>
      <c r="P512" s="72"/>
      <c r="Q512" s="63">
        <f t="shared" si="41"/>
        <v>126.25</v>
      </c>
      <c r="R512" s="72">
        <f t="shared" si="36"/>
        <v>0</v>
      </c>
      <c r="S512" s="63">
        <f t="shared" si="37"/>
        <v>126.25</v>
      </c>
    </row>
    <row r="513" spans="1:19" x14ac:dyDescent="0.25">
      <c r="A513" s="116" t="s">
        <v>2078</v>
      </c>
      <c r="B513" s="116" t="s">
        <v>2079</v>
      </c>
      <c r="C513" s="117">
        <v>332</v>
      </c>
      <c r="D513" s="91" t="s">
        <v>2083</v>
      </c>
      <c r="E513" s="91" t="s">
        <v>19</v>
      </c>
      <c r="F513" s="121">
        <v>41536</v>
      </c>
      <c r="G513" s="118"/>
      <c r="H513" s="72"/>
      <c r="I513" s="72"/>
      <c r="J513" s="72"/>
      <c r="K513" s="72"/>
      <c r="L513" s="72"/>
      <c r="M513" s="72"/>
      <c r="N513" s="72"/>
      <c r="O513" s="72"/>
      <c r="P513" s="72"/>
      <c r="Q513" s="63">
        <f t="shared" si="41"/>
        <v>142.49</v>
      </c>
      <c r="R513" s="72">
        <f t="shared" si="36"/>
        <v>0</v>
      </c>
      <c r="S513" s="63">
        <f t="shared" si="37"/>
        <v>142.49</v>
      </c>
    </row>
    <row r="514" spans="1:19" x14ac:dyDescent="0.25">
      <c r="A514" s="116" t="s">
        <v>2078</v>
      </c>
      <c r="B514" s="116" t="s">
        <v>2079</v>
      </c>
      <c r="C514" s="117">
        <v>332</v>
      </c>
      <c r="D514" s="91" t="s">
        <v>2084</v>
      </c>
      <c r="E514" s="91" t="s">
        <v>19</v>
      </c>
      <c r="F514" s="121">
        <v>41536</v>
      </c>
      <c r="G514" s="118">
        <f>2799.48+113.63+41.3+301.7+240.34+41.3</f>
        <v>3537.7500000000005</v>
      </c>
      <c r="H514" s="72"/>
      <c r="I514" s="72"/>
      <c r="J514" s="72"/>
      <c r="K514" s="72"/>
      <c r="L514" s="72"/>
      <c r="M514" s="72"/>
      <c r="N514" s="72"/>
      <c r="O514" s="72"/>
      <c r="P514" s="72"/>
      <c r="Q514" s="63">
        <f t="shared" si="41"/>
        <v>0</v>
      </c>
      <c r="R514" s="72">
        <f t="shared" si="36"/>
        <v>0</v>
      </c>
      <c r="S514" s="63">
        <f t="shared" si="37"/>
        <v>0</v>
      </c>
    </row>
    <row r="515" spans="1:19" x14ac:dyDescent="0.25">
      <c r="A515" s="116" t="s">
        <v>2085</v>
      </c>
      <c r="B515" s="116" t="s">
        <v>2086</v>
      </c>
      <c r="C515" s="117">
        <v>333</v>
      </c>
      <c r="D515" s="91" t="s">
        <v>2087</v>
      </c>
      <c r="E515" s="91" t="s">
        <v>19</v>
      </c>
      <c r="F515" s="121">
        <v>41522</v>
      </c>
      <c r="G515" s="118">
        <f>186.84</f>
        <v>186.84</v>
      </c>
      <c r="H515" s="72"/>
      <c r="I515" s="72"/>
      <c r="J515" s="72"/>
      <c r="K515" s="72"/>
      <c r="L515" s="72"/>
      <c r="M515" s="72"/>
      <c r="N515" s="72"/>
      <c r="O515" s="72"/>
      <c r="P515" s="72"/>
      <c r="Q515" s="63">
        <f t="shared" si="41"/>
        <v>3537.7500000000005</v>
      </c>
      <c r="R515" s="72">
        <f t="shared" si="36"/>
        <v>0</v>
      </c>
      <c r="S515" s="63">
        <f t="shared" si="37"/>
        <v>3537.7500000000005</v>
      </c>
    </row>
    <row r="516" spans="1:19" x14ac:dyDescent="0.25">
      <c r="A516" s="116" t="s">
        <v>2088</v>
      </c>
      <c r="B516" s="116" t="s">
        <v>2089</v>
      </c>
      <c r="C516" s="117">
        <v>334</v>
      </c>
      <c r="D516" s="91" t="s">
        <v>2090</v>
      </c>
      <c r="E516" s="91" t="s">
        <v>19</v>
      </c>
      <c r="F516" s="121">
        <v>41479</v>
      </c>
      <c r="G516" s="118">
        <v>154.46</v>
      </c>
      <c r="H516" s="72"/>
      <c r="I516" s="72"/>
      <c r="J516" s="72"/>
      <c r="K516" s="72"/>
      <c r="L516" s="72"/>
      <c r="M516" s="72"/>
      <c r="N516" s="72"/>
      <c r="O516" s="72"/>
      <c r="P516" s="72"/>
      <c r="Q516" s="63">
        <f t="shared" si="41"/>
        <v>186.84</v>
      </c>
      <c r="R516" s="72">
        <f t="shared" si="36"/>
        <v>0</v>
      </c>
      <c r="S516" s="63">
        <f t="shared" si="37"/>
        <v>186.84</v>
      </c>
    </row>
    <row r="517" spans="1:19" x14ac:dyDescent="0.25">
      <c r="A517" s="116" t="s">
        <v>2091</v>
      </c>
      <c r="B517" s="116" t="s">
        <v>2092</v>
      </c>
      <c r="C517" s="117">
        <v>335</v>
      </c>
      <c r="D517" s="91" t="s">
        <v>2093</v>
      </c>
      <c r="E517" s="91" t="s">
        <v>19</v>
      </c>
      <c r="F517" s="121">
        <v>41498</v>
      </c>
      <c r="G517" s="118">
        <v>101</v>
      </c>
      <c r="H517" s="72"/>
      <c r="I517" s="72"/>
      <c r="J517" s="72"/>
      <c r="K517" s="72"/>
      <c r="L517" s="72"/>
      <c r="M517" s="72"/>
      <c r="N517" s="72"/>
      <c r="O517" s="72"/>
      <c r="P517" s="72"/>
      <c r="Q517" s="63">
        <f t="shared" si="41"/>
        <v>154.46</v>
      </c>
      <c r="R517" s="72">
        <f t="shared" si="36"/>
        <v>0</v>
      </c>
      <c r="S517" s="63">
        <f t="shared" si="37"/>
        <v>154.46</v>
      </c>
    </row>
    <row r="518" spans="1:19" x14ac:dyDescent="0.25">
      <c r="A518" s="116" t="s">
        <v>2094</v>
      </c>
      <c r="B518" s="116" t="s">
        <v>2095</v>
      </c>
      <c r="C518" s="117">
        <v>336</v>
      </c>
      <c r="D518" s="91" t="s">
        <v>2096</v>
      </c>
      <c r="E518" s="91" t="s">
        <v>19</v>
      </c>
      <c r="F518" s="121">
        <v>41498</v>
      </c>
      <c r="G518" s="118">
        <v>122.68</v>
      </c>
      <c r="H518" s="72"/>
      <c r="I518" s="72"/>
      <c r="J518" s="72"/>
      <c r="K518" s="72"/>
      <c r="L518" s="72"/>
      <c r="M518" s="72"/>
      <c r="N518" s="72"/>
      <c r="O518" s="72"/>
      <c r="P518" s="72"/>
      <c r="Q518" s="63">
        <f t="shared" si="41"/>
        <v>101</v>
      </c>
      <c r="R518" s="72">
        <f t="shared" si="36"/>
        <v>0</v>
      </c>
      <c r="S518" s="63">
        <f t="shared" si="37"/>
        <v>101</v>
      </c>
    </row>
    <row r="519" spans="1:19" x14ac:dyDescent="0.25">
      <c r="A519" s="116" t="s">
        <v>2094</v>
      </c>
      <c r="B519" s="116" t="s">
        <v>2095</v>
      </c>
      <c r="C519" s="117">
        <v>336</v>
      </c>
      <c r="D519" s="91" t="s">
        <v>2097</v>
      </c>
      <c r="E519" s="91" t="s">
        <v>19</v>
      </c>
      <c r="F519" s="121">
        <v>41498</v>
      </c>
      <c r="G519" s="118">
        <v>163.22</v>
      </c>
      <c r="H519" s="72"/>
      <c r="I519" s="72"/>
      <c r="J519" s="72"/>
      <c r="K519" s="72"/>
      <c r="L519" s="72"/>
      <c r="M519" s="72"/>
      <c r="N519" s="72"/>
      <c r="O519" s="72"/>
      <c r="P519" s="72"/>
      <c r="Q519" s="63">
        <f t="shared" si="41"/>
        <v>122.68</v>
      </c>
      <c r="R519" s="72">
        <f t="shared" si="36"/>
        <v>0</v>
      </c>
      <c r="S519" s="63">
        <f t="shared" si="37"/>
        <v>122.68</v>
      </c>
    </row>
    <row r="520" spans="1:19" x14ac:dyDescent="0.25">
      <c r="A520" s="116" t="s">
        <v>2098</v>
      </c>
      <c r="B520" s="116" t="s">
        <v>2099</v>
      </c>
      <c r="C520" s="117">
        <v>337</v>
      </c>
      <c r="D520" s="91" t="s">
        <v>2100</v>
      </c>
      <c r="E520" s="91" t="s">
        <v>19</v>
      </c>
      <c r="F520" s="121">
        <v>41498</v>
      </c>
      <c r="G520" s="118">
        <v>136.86000000000001</v>
      </c>
      <c r="H520" s="72"/>
      <c r="I520" s="72"/>
      <c r="J520" s="72"/>
      <c r="K520" s="72"/>
      <c r="L520" s="72"/>
      <c r="M520" s="72"/>
      <c r="N520" s="72"/>
      <c r="O520" s="72"/>
      <c r="P520" s="72"/>
      <c r="Q520" s="63">
        <f t="shared" si="41"/>
        <v>163.22</v>
      </c>
      <c r="R520" s="72">
        <f t="shared" si="36"/>
        <v>0</v>
      </c>
      <c r="S520" s="63">
        <f t="shared" si="37"/>
        <v>163.22</v>
      </c>
    </row>
    <row r="521" spans="1:19" x14ac:dyDescent="0.25">
      <c r="A521" s="116" t="s">
        <v>2101</v>
      </c>
      <c r="B521" s="116" t="s">
        <v>2102</v>
      </c>
      <c r="C521" s="117">
        <v>338</v>
      </c>
      <c r="D521" s="91" t="s">
        <v>2103</v>
      </c>
      <c r="E521" s="91" t="s">
        <v>19</v>
      </c>
      <c r="F521" s="121">
        <v>41498</v>
      </c>
      <c r="G521" s="118">
        <v>167.57</v>
      </c>
      <c r="H521" s="72"/>
      <c r="I521" s="72"/>
      <c r="J521" s="72"/>
      <c r="K521" s="72"/>
      <c r="L521" s="72"/>
      <c r="M521" s="72"/>
      <c r="N521" s="72"/>
      <c r="O521" s="72"/>
      <c r="P521" s="72"/>
      <c r="Q521" s="63">
        <f t="shared" si="41"/>
        <v>136.86000000000001</v>
      </c>
      <c r="R521" s="72">
        <f t="shared" si="36"/>
        <v>0</v>
      </c>
      <c r="S521" s="63">
        <f t="shared" si="37"/>
        <v>136.86000000000001</v>
      </c>
    </row>
    <row r="522" spans="1:19" x14ac:dyDescent="0.25">
      <c r="A522" s="116" t="s">
        <v>2104</v>
      </c>
      <c r="B522" s="116" t="s">
        <v>2105</v>
      </c>
      <c r="C522" s="117">
        <v>339</v>
      </c>
      <c r="D522" s="91" t="s">
        <v>2106</v>
      </c>
      <c r="E522" s="91" t="s">
        <v>19</v>
      </c>
      <c r="F522" s="121">
        <v>41498</v>
      </c>
      <c r="G522" s="118">
        <f>1059.31</f>
        <v>1059.31</v>
      </c>
      <c r="H522" s="72"/>
      <c r="I522" s="72"/>
      <c r="J522" s="72"/>
      <c r="K522" s="72"/>
      <c r="L522" s="72"/>
      <c r="M522" s="72"/>
      <c r="N522" s="72"/>
      <c r="O522" s="72"/>
      <c r="P522" s="72"/>
      <c r="Q522" s="63">
        <f t="shared" si="41"/>
        <v>167.57</v>
      </c>
      <c r="R522" s="72">
        <f t="shared" si="36"/>
        <v>0</v>
      </c>
      <c r="S522" s="63">
        <f t="shared" si="37"/>
        <v>167.57</v>
      </c>
    </row>
    <row r="523" spans="1:19" x14ac:dyDescent="0.25">
      <c r="A523" s="116" t="s">
        <v>2104</v>
      </c>
      <c r="B523" s="116" t="s">
        <v>2105</v>
      </c>
      <c r="C523" s="117">
        <v>339</v>
      </c>
      <c r="D523" s="91" t="s">
        <v>2107</v>
      </c>
      <c r="E523" s="91" t="s">
        <v>19</v>
      </c>
      <c r="F523" s="121">
        <v>41498</v>
      </c>
      <c r="G523" s="118">
        <f>395.68</f>
        <v>395.68</v>
      </c>
      <c r="H523" s="72"/>
      <c r="I523" s="72"/>
      <c r="J523" s="72"/>
      <c r="K523" s="72"/>
      <c r="L523" s="72"/>
      <c r="M523" s="72"/>
      <c r="N523" s="72"/>
      <c r="O523" s="72"/>
      <c r="P523" s="72"/>
      <c r="Q523" s="63">
        <f t="shared" si="41"/>
        <v>1059.31</v>
      </c>
      <c r="R523" s="72">
        <f t="shared" si="36"/>
        <v>0</v>
      </c>
      <c r="S523" s="63">
        <f t="shared" si="37"/>
        <v>1059.31</v>
      </c>
    </row>
    <row r="524" spans="1:19" x14ac:dyDescent="0.25">
      <c r="A524" s="116" t="s">
        <v>2104</v>
      </c>
      <c r="B524" s="116" t="s">
        <v>2105</v>
      </c>
      <c r="C524" s="117">
        <v>339</v>
      </c>
      <c r="D524" s="91" t="s">
        <v>2108</v>
      </c>
      <c r="E524" s="91" t="s">
        <v>19</v>
      </c>
      <c r="F524" s="121">
        <v>41498</v>
      </c>
      <c r="G524" s="118">
        <v>258.33</v>
      </c>
      <c r="H524" s="72"/>
      <c r="I524" s="72"/>
      <c r="J524" s="72"/>
      <c r="K524" s="72"/>
      <c r="L524" s="72"/>
      <c r="M524" s="72"/>
      <c r="N524" s="72"/>
      <c r="O524" s="72"/>
      <c r="P524" s="72"/>
      <c r="Q524" s="63">
        <f t="shared" si="41"/>
        <v>395.68</v>
      </c>
      <c r="R524" s="72">
        <f t="shared" si="36"/>
        <v>0</v>
      </c>
      <c r="S524" s="63">
        <f t="shared" si="37"/>
        <v>395.68</v>
      </c>
    </row>
    <row r="525" spans="1:19" x14ac:dyDescent="0.25">
      <c r="A525" s="116" t="s">
        <v>2109</v>
      </c>
      <c r="B525" s="116" t="s">
        <v>2110</v>
      </c>
      <c r="C525" s="117">
        <v>340</v>
      </c>
      <c r="D525" s="91" t="s">
        <v>2111</v>
      </c>
      <c r="E525" s="91" t="s">
        <v>19</v>
      </c>
      <c r="F525" s="121">
        <v>41493</v>
      </c>
      <c r="G525" s="118">
        <v>135.6</v>
      </c>
      <c r="H525" s="72"/>
      <c r="I525" s="72"/>
      <c r="J525" s="72"/>
      <c r="K525" s="72"/>
      <c r="L525" s="72"/>
      <c r="M525" s="72"/>
      <c r="N525" s="72"/>
      <c r="O525" s="72"/>
      <c r="P525" s="72"/>
      <c r="Q525" s="63">
        <f t="shared" si="41"/>
        <v>258.33</v>
      </c>
      <c r="R525" s="72">
        <f t="shared" si="36"/>
        <v>0</v>
      </c>
      <c r="S525" s="63">
        <f t="shared" si="37"/>
        <v>258.33</v>
      </c>
    </row>
    <row r="526" spans="1:19" x14ac:dyDescent="0.25">
      <c r="A526" s="116" t="s">
        <v>2109</v>
      </c>
      <c r="B526" s="116" t="s">
        <v>2110</v>
      </c>
      <c r="C526" s="117">
        <v>340</v>
      </c>
      <c r="D526" s="91" t="s">
        <v>2112</v>
      </c>
      <c r="E526" s="91" t="s">
        <v>19</v>
      </c>
      <c r="F526" s="121">
        <v>41493</v>
      </c>
      <c r="G526" s="118">
        <v>133.57</v>
      </c>
      <c r="H526" s="72"/>
      <c r="I526" s="72"/>
      <c r="J526" s="72"/>
      <c r="K526" s="72"/>
      <c r="L526" s="72"/>
      <c r="M526" s="72"/>
      <c r="N526" s="72"/>
      <c r="O526" s="72"/>
      <c r="P526" s="72"/>
      <c r="Q526" s="63">
        <f t="shared" si="41"/>
        <v>135.6</v>
      </c>
      <c r="R526" s="72">
        <f t="shared" ref="R526:R557" si="42">+H526+J526+L526+N526+P526</f>
        <v>0</v>
      </c>
      <c r="S526" s="63">
        <f t="shared" ref="S526:S589" si="43">+Q526+R526</f>
        <v>135.6</v>
      </c>
    </row>
    <row r="527" spans="1:19" x14ac:dyDescent="0.25">
      <c r="A527" s="116" t="s">
        <v>2113</v>
      </c>
      <c r="B527" s="116" t="s">
        <v>2114</v>
      </c>
      <c r="C527" s="117">
        <v>341</v>
      </c>
      <c r="D527" s="91" t="s">
        <v>2115</v>
      </c>
      <c r="E527" s="91" t="s">
        <v>19</v>
      </c>
      <c r="F527" s="121">
        <v>41507</v>
      </c>
      <c r="G527" s="118">
        <f>102.41+40</f>
        <v>142.41</v>
      </c>
      <c r="H527" s="72"/>
      <c r="I527" s="120">
        <v>225</v>
      </c>
      <c r="J527" s="72"/>
      <c r="K527" s="72"/>
      <c r="L527" s="72"/>
      <c r="M527" s="72"/>
      <c r="N527" s="72"/>
      <c r="O527" s="72"/>
      <c r="P527" s="72"/>
      <c r="Q527" s="63">
        <f t="shared" si="41"/>
        <v>358.57</v>
      </c>
      <c r="R527" s="72">
        <f t="shared" si="42"/>
        <v>0</v>
      </c>
      <c r="S527" s="63">
        <f t="shared" si="43"/>
        <v>358.57</v>
      </c>
    </row>
    <row r="528" spans="1:19" x14ac:dyDescent="0.25">
      <c r="A528" s="116" t="s">
        <v>2113</v>
      </c>
      <c r="B528" s="116" t="s">
        <v>2114</v>
      </c>
      <c r="C528" s="117">
        <v>341</v>
      </c>
      <c r="D528" s="91" t="s">
        <v>2116</v>
      </c>
      <c r="E528" s="91" t="s">
        <v>19</v>
      </c>
      <c r="F528" s="121">
        <v>41507</v>
      </c>
      <c r="G528" s="118">
        <f>112</f>
        <v>112</v>
      </c>
      <c r="H528" s="72"/>
      <c r="I528" s="120">
        <v>100</v>
      </c>
      <c r="J528" s="72"/>
      <c r="K528" s="72"/>
      <c r="L528" s="72"/>
      <c r="M528" s="72"/>
      <c r="N528" s="72"/>
      <c r="O528" s="72"/>
      <c r="P528" s="72"/>
      <c r="Q528" s="63">
        <f t="shared" si="41"/>
        <v>242.41</v>
      </c>
      <c r="R528" s="72">
        <f t="shared" si="42"/>
        <v>0</v>
      </c>
      <c r="S528" s="63">
        <f t="shared" si="43"/>
        <v>242.41</v>
      </c>
    </row>
    <row r="529" spans="1:19" x14ac:dyDescent="0.25">
      <c r="A529" s="116" t="s">
        <v>2117</v>
      </c>
      <c r="B529" s="116" t="s">
        <v>2118</v>
      </c>
      <c r="C529" s="117">
        <v>342</v>
      </c>
      <c r="D529" s="91" t="s">
        <v>2119</v>
      </c>
      <c r="E529" s="91" t="s">
        <v>19</v>
      </c>
      <c r="F529" s="121">
        <v>41587</v>
      </c>
      <c r="G529" s="118">
        <f>124.76+436.6+77.56+77.56+631.3+589.3</f>
        <v>1937.08</v>
      </c>
      <c r="H529" s="72"/>
      <c r="I529" s="120">
        <f>3000+500</f>
        <v>3500</v>
      </c>
      <c r="J529" s="72"/>
      <c r="K529" s="72"/>
      <c r="L529" s="72"/>
      <c r="M529" s="72"/>
      <c r="N529" s="72"/>
      <c r="O529" s="72"/>
      <c r="P529" s="72"/>
      <c r="Q529" s="63">
        <f t="shared" si="41"/>
        <v>3612</v>
      </c>
      <c r="R529" s="72">
        <f t="shared" si="42"/>
        <v>0</v>
      </c>
      <c r="S529" s="63">
        <f t="shared" si="43"/>
        <v>3612</v>
      </c>
    </row>
    <row r="530" spans="1:19" x14ac:dyDescent="0.25">
      <c r="A530" s="116" t="s">
        <v>2120</v>
      </c>
      <c r="B530" s="116" t="s">
        <v>2121</v>
      </c>
      <c r="C530" s="117">
        <v>343</v>
      </c>
      <c r="D530" s="91" t="s">
        <v>2122</v>
      </c>
      <c r="E530" s="91" t="s">
        <v>19</v>
      </c>
      <c r="F530" s="121">
        <v>41558</v>
      </c>
      <c r="G530" s="77">
        <v>247.92</v>
      </c>
      <c r="H530" s="72"/>
      <c r="I530" s="72"/>
      <c r="J530" s="72"/>
      <c r="K530" s="72"/>
      <c r="L530" s="72"/>
      <c r="M530" s="72"/>
      <c r="N530" s="72"/>
      <c r="O530" s="72"/>
      <c r="P530" s="72"/>
      <c r="Q530" s="63">
        <f>+G529+I530+K530+M530+O530</f>
        <v>1937.08</v>
      </c>
      <c r="R530" s="72">
        <f t="shared" si="42"/>
        <v>0</v>
      </c>
      <c r="S530" s="63">
        <f>+Q530+R530</f>
        <v>1937.08</v>
      </c>
    </row>
    <row r="531" spans="1:19" x14ac:dyDescent="0.25">
      <c r="A531" s="116" t="s">
        <v>2123</v>
      </c>
      <c r="B531" s="116" t="s">
        <v>2124</v>
      </c>
      <c r="C531" s="117">
        <v>344</v>
      </c>
      <c r="D531" s="91" t="s">
        <v>2125</v>
      </c>
      <c r="E531" s="91" t="s">
        <v>19</v>
      </c>
      <c r="F531" s="121">
        <v>41533</v>
      </c>
      <c r="G531" s="118">
        <f>7644.14+301.7+166.73+301.7+233.05+154.33+154.33+301.7+301.7+147.23+301.7+558+225.3+41.3+198.02+301.7+41.3+195.56+41.3+156.11+236.6+164.94</f>
        <v>12168.44</v>
      </c>
      <c r="H531" s="72"/>
      <c r="I531" s="63">
        <v>3700</v>
      </c>
      <c r="J531" s="72"/>
      <c r="K531" s="72"/>
      <c r="L531" s="72"/>
      <c r="M531" s="72"/>
      <c r="N531" s="72"/>
      <c r="O531" s="72"/>
      <c r="P531" s="72"/>
      <c r="Q531" s="63">
        <f>+G529+I531+K531+M531+O531</f>
        <v>5637.08</v>
      </c>
      <c r="R531" s="72">
        <f t="shared" si="42"/>
        <v>0</v>
      </c>
      <c r="S531" s="63">
        <f t="shared" si="43"/>
        <v>5637.08</v>
      </c>
    </row>
    <row r="532" spans="1:19" x14ac:dyDescent="0.25">
      <c r="A532" s="116" t="s">
        <v>2126</v>
      </c>
      <c r="B532" s="116" t="s">
        <v>2127</v>
      </c>
      <c r="C532" s="117">
        <v>345</v>
      </c>
      <c r="D532" s="91" t="s">
        <v>2128</v>
      </c>
      <c r="E532" s="91" t="s">
        <v>19</v>
      </c>
      <c r="F532" s="121">
        <v>41526</v>
      </c>
      <c r="G532" s="118">
        <v>162.69999999999999</v>
      </c>
      <c r="H532" s="72"/>
      <c r="I532" s="72"/>
      <c r="J532" s="72"/>
      <c r="K532" s="72"/>
      <c r="L532" s="72"/>
      <c r="M532" s="72"/>
      <c r="N532" s="72"/>
      <c r="O532" s="72"/>
      <c r="P532" s="72"/>
      <c r="Q532" s="63">
        <f>+G531+I532+K532+M532+O532</f>
        <v>12168.44</v>
      </c>
      <c r="R532" s="72">
        <f t="shared" si="42"/>
        <v>0</v>
      </c>
      <c r="S532" s="63">
        <f t="shared" si="43"/>
        <v>12168.44</v>
      </c>
    </row>
    <row r="533" spans="1:19" x14ac:dyDescent="0.25">
      <c r="A533" s="116" t="s">
        <v>2129</v>
      </c>
      <c r="B533" s="116" t="s">
        <v>2130</v>
      </c>
      <c r="C533" s="117">
        <v>346</v>
      </c>
      <c r="D533" s="91" t="s">
        <v>2131</v>
      </c>
      <c r="E533" s="91" t="s">
        <v>19</v>
      </c>
      <c r="F533" s="121">
        <v>41526</v>
      </c>
      <c r="G533" s="77"/>
      <c r="H533" s="72"/>
      <c r="I533" s="72"/>
      <c r="J533" s="72"/>
      <c r="K533" s="72"/>
      <c r="L533" s="72"/>
      <c r="M533" s="72"/>
      <c r="N533" s="72"/>
      <c r="O533" s="72"/>
      <c r="P533" s="72"/>
      <c r="Q533" s="63">
        <f>+G532+I533+K533+M533+O533</f>
        <v>162.69999999999999</v>
      </c>
      <c r="R533" s="72">
        <f t="shared" si="42"/>
        <v>0</v>
      </c>
      <c r="S533" s="63">
        <f t="shared" si="43"/>
        <v>162.69999999999999</v>
      </c>
    </row>
    <row r="534" spans="1:19" x14ac:dyDescent="0.25">
      <c r="A534" s="116" t="s">
        <v>2129</v>
      </c>
      <c r="B534" s="116" t="s">
        <v>2130</v>
      </c>
      <c r="C534" s="117">
        <v>346</v>
      </c>
      <c r="D534" s="91" t="s">
        <v>2132</v>
      </c>
      <c r="E534" s="91" t="s">
        <v>19</v>
      </c>
      <c r="F534" s="121">
        <v>41526</v>
      </c>
      <c r="G534" s="118"/>
      <c r="H534" s="72"/>
      <c r="I534" s="72"/>
      <c r="J534" s="72"/>
      <c r="K534" s="72"/>
      <c r="L534" s="72"/>
      <c r="M534" s="72"/>
      <c r="N534" s="72"/>
      <c r="O534" s="72"/>
      <c r="P534" s="72"/>
      <c r="Q534" s="63">
        <f>+G534+I534+K534+M534+O534</f>
        <v>0</v>
      </c>
      <c r="R534" s="72">
        <f t="shared" si="42"/>
        <v>0</v>
      </c>
      <c r="S534" s="63">
        <f t="shared" si="43"/>
        <v>0</v>
      </c>
    </row>
    <row r="535" spans="1:19" x14ac:dyDescent="0.25">
      <c r="A535" s="116" t="s">
        <v>2129</v>
      </c>
      <c r="B535" s="116" t="s">
        <v>2130</v>
      </c>
      <c r="C535" s="117">
        <v>346</v>
      </c>
      <c r="D535" s="91" t="s">
        <v>2133</v>
      </c>
      <c r="E535" s="91" t="s">
        <v>19</v>
      </c>
      <c r="F535" s="121">
        <v>41526</v>
      </c>
      <c r="G535" s="118"/>
      <c r="H535" s="72"/>
      <c r="I535" s="72"/>
      <c r="J535" s="72"/>
      <c r="K535" s="72"/>
      <c r="L535" s="72"/>
      <c r="M535" s="72"/>
      <c r="N535" s="72"/>
      <c r="O535" s="72"/>
      <c r="P535" s="72"/>
      <c r="Q535" s="63">
        <f>+G535+I535+K535+M535+O535</f>
        <v>0</v>
      </c>
      <c r="R535" s="72">
        <f t="shared" si="42"/>
        <v>0</v>
      </c>
      <c r="S535" s="63">
        <f t="shared" si="43"/>
        <v>0</v>
      </c>
    </row>
    <row r="536" spans="1:19" x14ac:dyDescent="0.25">
      <c r="A536" s="116" t="s">
        <v>2134</v>
      </c>
      <c r="B536" s="116" t="s">
        <v>2135</v>
      </c>
      <c r="C536" s="117">
        <v>347</v>
      </c>
      <c r="D536" s="91" t="s">
        <v>2136</v>
      </c>
      <c r="E536" s="91" t="s">
        <v>19</v>
      </c>
      <c r="F536" s="121">
        <v>41526</v>
      </c>
      <c r="G536" s="118">
        <v>48.5</v>
      </c>
      <c r="H536" s="72"/>
      <c r="I536" s="72"/>
      <c r="J536" s="72"/>
      <c r="K536" s="72"/>
      <c r="L536" s="72"/>
      <c r="M536" s="72"/>
      <c r="N536" s="72"/>
      <c r="O536" s="72"/>
      <c r="P536" s="72"/>
      <c r="Q536" s="63">
        <f>+G536+I536+K536+M536+O536</f>
        <v>48.5</v>
      </c>
      <c r="R536" s="72">
        <f t="shared" si="42"/>
        <v>0</v>
      </c>
      <c r="S536" s="63">
        <f>+Q536+R536</f>
        <v>48.5</v>
      </c>
    </row>
    <row r="537" spans="1:19" x14ac:dyDescent="0.25">
      <c r="A537" s="116" t="s">
        <v>2137</v>
      </c>
      <c r="B537" s="116" t="s">
        <v>2138</v>
      </c>
      <c r="C537" s="117">
        <v>348</v>
      </c>
      <c r="D537" s="91" t="s">
        <v>2139</v>
      </c>
      <c r="E537" s="91" t="s">
        <v>19</v>
      </c>
      <c r="F537" s="121">
        <v>41526</v>
      </c>
      <c r="G537" s="118">
        <v>466.1</v>
      </c>
      <c r="H537" s="72"/>
      <c r="I537" s="72"/>
      <c r="J537" s="72"/>
      <c r="K537" s="72"/>
      <c r="L537" s="72"/>
      <c r="M537" s="72"/>
      <c r="N537" s="72"/>
      <c r="O537" s="72"/>
      <c r="P537" s="72"/>
      <c r="Q537" s="63">
        <f t="shared" ref="Q537:Q570" si="44">+G536+I537+K537+M537+O537</f>
        <v>48.5</v>
      </c>
      <c r="R537" s="72">
        <f t="shared" si="42"/>
        <v>0</v>
      </c>
      <c r="S537" s="63">
        <f t="shared" si="43"/>
        <v>48.5</v>
      </c>
    </row>
    <row r="538" spans="1:19" x14ac:dyDescent="0.25">
      <c r="A538" s="116" t="s">
        <v>2140</v>
      </c>
      <c r="B538" s="116" t="s">
        <v>2141</v>
      </c>
      <c r="C538" s="117">
        <v>349</v>
      </c>
      <c r="D538" s="91" t="s">
        <v>2142</v>
      </c>
      <c r="E538" s="91" t="s">
        <v>19</v>
      </c>
      <c r="F538" s="121">
        <v>41526</v>
      </c>
      <c r="G538" s="118">
        <v>40.799999999999997</v>
      </c>
      <c r="H538" s="72"/>
      <c r="I538" s="72"/>
      <c r="J538" s="72"/>
      <c r="K538" s="72"/>
      <c r="L538" s="72"/>
      <c r="M538" s="72"/>
      <c r="N538" s="72"/>
      <c r="O538" s="72"/>
      <c r="P538" s="72"/>
      <c r="Q538" s="63">
        <f t="shared" si="44"/>
        <v>466.1</v>
      </c>
      <c r="R538" s="72">
        <f t="shared" si="42"/>
        <v>0</v>
      </c>
      <c r="S538" s="63">
        <f t="shared" si="43"/>
        <v>466.1</v>
      </c>
    </row>
    <row r="539" spans="1:19" x14ac:dyDescent="0.25">
      <c r="A539" s="116" t="s">
        <v>2140</v>
      </c>
      <c r="B539" s="116" t="s">
        <v>2141</v>
      </c>
      <c r="C539" s="117">
        <v>349</v>
      </c>
      <c r="D539" s="91" t="s">
        <v>2143</v>
      </c>
      <c r="E539" s="91" t="s">
        <v>19</v>
      </c>
      <c r="F539" s="121">
        <v>41526</v>
      </c>
      <c r="G539" s="118">
        <v>109.8</v>
      </c>
      <c r="H539" s="72"/>
      <c r="I539" s="72"/>
      <c r="J539" s="72"/>
      <c r="K539" s="72"/>
      <c r="L539" s="72"/>
      <c r="M539" s="72"/>
      <c r="N539" s="72"/>
      <c r="O539" s="72"/>
      <c r="P539" s="72"/>
      <c r="Q539" s="63">
        <f t="shared" si="44"/>
        <v>40.799999999999997</v>
      </c>
      <c r="R539" s="72">
        <f t="shared" si="42"/>
        <v>0</v>
      </c>
      <c r="S539" s="63">
        <f t="shared" si="43"/>
        <v>40.799999999999997</v>
      </c>
    </row>
    <row r="540" spans="1:19" x14ac:dyDescent="0.25">
      <c r="A540" s="116" t="s">
        <v>2140</v>
      </c>
      <c r="B540" s="116" t="s">
        <v>2141</v>
      </c>
      <c r="C540" s="117">
        <v>349</v>
      </c>
      <c r="D540" s="91" t="s">
        <v>2144</v>
      </c>
      <c r="E540" s="91" t="s">
        <v>19</v>
      </c>
      <c r="F540" s="121">
        <v>41526</v>
      </c>
      <c r="G540" s="118">
        <v>101.1</v>
      </c>
      <c r="H540" s="72"/>
      <c r="I540" s="72"/>
      <c r="J540" s="72"/>
      <c r="K540" s="72"/>
      <c r="L540" s="72"/>
      <c r="M540" s="72"/>
      <c r="N540" s="72"/>
      <c r="O540" s="72"/>
      <c r="P540" s="72"/>
      <c r="Q540" s="63">
        <f t="shared" si="44"/>
        <v>109.8</v>
      </c>
      <c r="R540" s="72">
        <f t="shared" si="42"/>
        <v>0</v>
      </c>
      <c r="S540" s="63">
        <f t="shared" si="43"/>
        <v>109.8</v>
      </c>
    </row>
    <row r="541" spans="1:19" x14ac:dyDescent="0.25">
      <c r="A541" s="116" t="s">
        <v>2140</v>
      </c>
      <c r="B541" s="116" t="s">
        <v>2141</v>
      </c>
      <c r="C541" s="117">
        <v>349</v>
      </c>
      <c r="D541" s="91" t="s">
        <v>2145</v>
      </c>
      <c r="E541" s="91" t="s">
        <v>19</v>
      </c>
      <c r="F541" s="121">
        <v>41526</v>
      </c>
      <c r="G541" s="118">
        <v>40.799999999999997</v>
      </c>
      <c r="H541" s="72"/>
      <c r="I541" s="72"/>
      <c r="J541" s="72"/>
      <c r="K541" s="72"/>
      <c r="L541" s="72"/>
      <c r="M541" s="72"/>
      <c r="N541" s="72"/>
      <c r="O541" s="72"/>
      <c r="P541" s="72"/>
      <c r="Q541" s="63">
        <f t="shared" si="44"/>
        <v>101.1</v>
      </c>
      <c r="R541" s="72">
        <f t="shared" si="42"/>
        <v>0</v>
      </c>
      <c r="S541" s="63">
        <f t="shared" si="43"/>
        <v>101.1</v>
      </c>
    </row>
    <row r="542" spans="1:19" x14ac:dyDescent="0.25">
      <c r="A542" s="116" t="s">
        <v>2146</v>
      </c>
      <c r="B542" s="116" t="s">
        <v>2147</v>
      </c>
      <c r="C542" s="117">
        <v>350</v>
      </c>
      <c r="D542" s="91" t="s">
        <v>2148</v>
      </c>
      <c r="E542" s="91" t="s">
        <v>19</v>
      </c>
      <c r="F542" s="121">
        <v>41526</v>
      </c>
      <c r="G542" s="118">
        <v>83.6</v>
      </c>
      <c r="H542" s="72"/>
      <c r="I542" s="72"/>
      <c r="J542" s="72"/>
      <c r="K542" s="72"/>
      <c r="L542" s="72"/>
      <c r="M542" s="72"/>
      <c r="N542" s="72"/>
      <c r="O542" s="72"/>
      <c r="P542" s="72"/>
      <c r="Q542" s="63">
        <f t="shared" si="44"/>
        <v>40.799999999999997</v>
      </c>
      <c r="R542" s="72">
        <f t="shared" si="42"/>
        <v>0</v>
      </c>
      <c r="S542" s="63">
        <f t="shared" si="43"/>
        <v>40.799999999999997</v>
      </c>
    </row>
    <row r="543" spans="1:19" x14ac:dyDescent="0.25">
      <c r="A543" s="116" t="s">
        <v>2146</v>
      </c>
      <c r="B543" s="116" t="s">
        <v>2147</v>
      </c>
      <c r="C543" s="117">
        <v>350</v>
      </c>
      <c r="D543" s="91" t="s">
        <v>2149</v>
      </c>
      <c r="E543" s="91" t="s">
        <v>19</v>
      </c>
      <c r="F543" s="121">
        <v>41526</v>
      </c>
      <c r="G543" s="118">
        <v>74</v>
      </c>
      <c r="H543" s="72"/>
      <c r="I543" s="72"/>
      <c r="J543" s="72"/>
      <c r="K543" s="72"/>
      <c r="L543" s="72"/>
      <c r="M543" s="72"/>
      <c r="N543" s="72"/>
      <c r="O543" s="72"/>
      <c r="P543" s="72"/>
      <c r="Q543" s="63">
        <f t="shared" si="44"/>
        <v>83.6</v>
      </c>
      <c r="R543" s="72">
        <f t="shared" si="42"/>
        <v>0</v>
      </c>
      <c r="S543" s="63">
        <f t="shared" si="43"/>
        <v>83.6</v>
      </c>
    </row>
    <row r="544" spans="1:19" x14ac:dyDescent="0.25">
      <c r="A544" s="116" t="s">
        <v>2150</v>
      </c>
      <c r="B544" s="116" t="s">
        <v>2151</v>
      </c>
      <c r="C544" s="117">
        <v>351</v>
      </c>
      <c r="D544" s="91" t="s">
        <v>2152</v>
      </c>
      <c r="E544" s="91" t="s">
        <v>19</v>
      </c>
      <c r="F544" s="121">
        <v>41526</v>
      </c>
      <c r="G544" s="118">
        <v>75</v>
      </c>
      <c r="H544" s="72"/>
      <c r="I544" s="72"/>
      <c r="J544" s="72"/>
      <c r="K544" s="72"/>
      <c r="L544" s="72"/>
      <c r="M544" s="72"/>
      <c r="N544" s="72"/>
      <c r="O544" s="72"/>
      <c r="P544" s="72"/>
      <c r="Q544" s="63">
        <f t="shared" si="44"/>
        <v>74</v>
      </c>
      <c r="R544" s="72">
        <f t="shared" si="42"/>
        <v>0</v>
      </c>
      <c r="S544" s="63">
        <f t="shared" si="43"/>
        <v>74</v>
      </c>
    </row>
    <row r="545" spans="1:19" x14ac:dyDescent="0.25">
      <c r="A545" s="116" t="s">
        <v>2153</v>
      </c>
      <c r="B545" s="116" t="s">
        <v>2154</v>
      </c>
      <c r="C545" s="117">
        <v>352</v>
      </c>
      <c r="D545" s="91" t="s">
        <v>2155</v>
      </c>
      <c r="E545" s="91" t="s">
        <v>19</v>
      </c>
      <c r="F545" s="121">
        <v>41526</v>
      </c>
      <c r="G545" s="118">
        <v>116.7</v>
      </c>
      <c r="H545" s="72"/>
      <c r="I545" s="72"/>
      <c r="J545" s="72"/>
      <c r="K545" s="72"/>
      <c r="L545" s="72"/>
      <c r="M545" s="72"/>
      <c r="N545" s="72"/>
      <c r="O545" s="72"/>
      <c r="P545" s="72"/>
      <c r="Q545" s="63">
        <f t="shared" si="44"/>
        <v>75</v>
      </c>
      <c r="R545" s="72">
        <f t="shared" si="42"/>
        <v>0</v>
      </c>
      <c r="S545" s="63">
        <f t="shared" si="43"/>
        <v>75</v>
      </c>
    </row>
    <row r="546" spans="1:19" x14ac:dyDescent="0.25">
      <c r="A546" s="116" t="s">
        <v>2153</v>
      </c>
      <c r="B546" s="116" t="s">
        <v>2154</v>
      </c>
      <c r="C546" s="117">
        <v>352</v>
      </c>
      <c r="D546" s="91" t="s">
        <v>2156</v>
      </c>
      <c r="E546" s="91" t="s">
        <v>19</v>
      </c>
      <c r="F546" s="121">
        <v>41526</v>
      </c>
      <c r="G546" s="118">
        <f>215.8+115.6</f>
        <v>331.4</v>
      </c>
      <c r="H546" s="72"/>
      <c r="I546" s="120">
        <v>750</v>
      </c>
      <c r="J546" s="72"/>
      <c r="K546" s="72"/>
      <c r="L546" s="72"/>
      <c r="M546" s="72"/>
      <c r="N546" s="72"/>
      <c r="O546" s="72"/>
      <c r="P546" s="72"/>
      <c r="Q546" s="63">
        <f t="shared" si="44"/>
        <v>866.7</v>
      </c>
      <c r="R546" s="72">
        <f t="shared" si="42"/>
        <v>0</v>
      </c>
      <c r="S546" s="63">
        <f t="shared" si="43"/>
        <v>866.7</v>
      </c>
    </row>
    <row r="547" spans="1:19" x14ac:dyDescent="0.25">
      <c r="A547" s="116" t="s">
        <v>2153</v>
      </c>
      <c r="B547" s="116" t="s">
        <v>2154</v>
      </c>
      <c r="C547" s="117">
        <v>352</v>
      </c>
      <c r="D547" s="91" t="s">
        <v>2157</v>
      </c>
      <c r="E547" s="91" t="s">
        <v>19</v>
      </c>
      <c r="F547" s="121">
        <v>41526</v>
      </c>
      <c r="G547" s="118">
        <v>49.4</v>
      </c>
      <c r="H547" s="72"/>
      <c r="I547" s="73"/>
      <c r="J547" s="72"/>
      <c r="K547" s="72"/>
      <c r="L547" s="72"/>
      <c r="M547" s="72"/>
      <c r="N547" s="72"/>
      <c r="O547" s="72"/>
      <c r="P547" s="72"/>
      <c r="Q547" s="63">
        <f t="shared" si="44"/>
        <v>331.4</v>
      </c>
      <c r="R547" s="72">
        <f t="shared" si="42"/>
        <v>0</v>
      </c>
      <c r="S547" s="63">
        <f t="shared" si="43"/>
        <v>331.4</v>
      </c>
    </row>
    <row r="548" spans="1:19" x14ac:dyDescent="0.25">
      <c r="A548" s="116" t="s">
        <v>2158</v>
      </c>
      <c r="B548" s="116" t="s">
        <v>2159</v>
      </c>
      <c r="C548" s="117">
        <v>353</v>
      </c>
      <c r="D548" s="91" t="s">
        <v>2160</v>
      </c>
      <c r="E548" s="91" t="s">
        <v>19</v>
      </c>
      <c r="F548" s="121">
        <v>41526</v>
      </c>
      <c r="G548" s="118">
        <v>103.7</v>
      </c>
      <c r="H548" s="72"/>
      <c r="I548" s="73"/>
      <c r="J548" s="72"/>
      <c r="K548" s="72"/>
      <c r="L548" s="72"/>
      <c r="M548" s="72"/>
      <c r="N548" s="72"/>
      <c r="O548" s="72"/>
      <c r="P548" s="72"/>
      <c r="Q548" s="63">
        <f t="shared" si="44"/>
        <v>49.4</v>
      </c>
      <c r="R548" s="72">
        <f t="shared" si="42"/>
        <v>0</v>
      </c>
      <c r="S548" s="63">
        <f t="shared" si="43"/>
        <v>49.4</v>
      </c>
    </row>
    <row r="549" spans="1:19" x14ac:dyDescent="0.25">
      <c r="A549" s="116" t="s">
        <v>2158</v>
      </c>
      <c r="B549" s="116" t="s">
        <v>2159</v>
      </c>
      <c r="C549" s="117">
        <v>353</v>
      </c>
      <c r="D549" s="91" t="s">
        <v>2161</v>
      </c>
      <c r="E549" s="91" t="s">
        <v>19</v>
      </c>
      <c r="F549" s="121">
        <v>41526</v>
      </c>
      <c r="G549" s="118">
        <v>40.799999999999997</v>
      </c>
      <c r="H549" s="72"/>
      <c r="I549" s="73"/>
      <c r="J549" s="72"/>
      <c r="K549" s="72"/>
      <c r="L549" s="72"/>
      <c r="M549" s="72"/>
      <c r="N549" s="72"/>
      <c r="O549" s="72"/>
      <c r="P549" s="72"/>
      <c r="Q549" s="63">
        <f t="shared" si="44"/>
        <v>103.7</v>
      </c>
      <c r="R549" s="72">
        <f t="shared" si="42"/>
        <v>0</v>
      </c>
      <c r="S549" s="63">
        <f t="shared" si="43"/>
        <v>103.7</v>
      </c>
    </row>
    <row r="550" spans="1:19" x14ac:dyDescent="0.25">
      <c r="A550" s="116" t="s">
        <v>2162</v>
      </c>
      <c r="B550" s="116" t="s">
        <v>2163</v>
      </c>
      <c r="C550" s="117">
        <v>354</v>
      </c>
      <c r="D550" s="91" t="s">
        <v>2164</v>
      </c>
      <c r="E550" s="91" t="s">
        <v>19</v>
      </c>
      <c r="F550" s="121">
        <v>41526</v>
      </c>
      <c r="G550" s="118">
        <v>113.6</v>
      </c>
      <c r="H550" s="72"/>
      <c r="I550" s="73"/>
      <c r="J550" s="72"/>
      <c r="K550" s="72"/>
      <c r="L550" s="72"/>
      <c r="M550" s="72"/>
      <c r="N550" s="72"/>
      <c r="O550" s="72"/>
      <c r="P550" s="72"/>
      <c r="Q550" s="63">
        <f t="shared" si="44"/>
        <v>40.799999999999997</v>
      </c>
      <c r="R550" s="72">
        <f t="shared" si="42"/>
        <v>0</v>
      </c>
      <c r="S550" s="63">
        <f t="shared" si="43"/>
        <v>40.799999999999997</v>
      </c>
    </row>
    <row r="551" spans="1:19" x14ac:dyDescent="0.25">
      <c r="A551" s="116" t="s">
        <v>2165</v>
      </c>
      <c r="B551" s="116" t="s">
        <v>2166</v>
      </c>
      <c r="C551" s="117">
        <v>355</v>
      </c>
      <c r="D551" s="91" t="s">
        <v>2167</v>
      </c>
      <c r="E551" s="91" t="s">
        <v>19</v>
      </c>
      <c r="F551" s="121">
        <v>41526</v>
      </c>
      <c r="G551" s="118">
        <v>289.2</v>
      </c>
      <c r="H551" s="72"/>
      <c r="I551" s="73"/>
      <c r="J551" s="72"/>
      <c r="K551" s="72"/>
      <c r="L551" s="72"/>
      <c r="M551" s="72"/>
      <c r="N551" s="72"/>
      <c r="O551" s="72"/>
      <c r="P551" s="72"/>
      <c r="Q551" s="63">
        <f t="shared" si="44"/>
        <v>113.6</v>
      </c>
      <c r="R551" s="72">
        <f t="shared" si="42"/>
        <v>0</v>
      </c>
      <c r="S551" s="63">
        <f t="shared" si="43"/>
        <v>113.6</v>
      </c>
    </row>
    <row r="552" spans="1:19" x14ac:dyDescent="0.25">
      <c r="A552" s="116" t="s">
        <v>2168</v>
      </c>
      <c r="B552" s="116" t="s">
        <v>2169</v>
      </c>
      <c r="C552" s="117">
        <v>356</v>
      </c>
      <c r="D552" s="91" t="s">
        <v>2170</v>
      </c>
      <c r="E552" s="91" t="s">
        <v>19</v>
      </c>
      <c r="F552" s="121">
        <v>41572</v>
      </c>
      <c r="G552" s="118">
        <f>189.98</f>
        <v>189.98</v>
      </c>
      <c r="H552" s="72"/>
      <c r="I552" s="73"/>
      <c r="J552" s="72"/>
      <c r="K552" s="72"/>
      <c r="L552" s="72"/>
      <c r="M552" s="72"/>
      <c r="N552" s="72"/>
      <c r="O552" s="72"/>
      <c r="P552" s="72"/>
      <c r="Q552" s="63">
        <f t="shared" si="44"/>
        <v>289.2</v>
      </c>
      <c r="R552" s="72">
        <f t="shared" si="42"/>
        <v>0</v>
      </c>
      <c r="S552" s="63">
        <f t="shared" si="43"/>
        <v>289.2</v>
      </c>
    </row>
    <row r="553" spans="1:19" x14ac:dyDescent="0.25">
      <c r="A553" s="116" t="s">
        <v>2171</v>
      </c>
      <c r="B553" s="116" t="s">
        <v>2172</v>
      </c>
      <c r="C553" s="117">
        <v>357</v>
      </c>
      <c r="D553" s="91" t="s">
        <v>2173</v>
      </c>
      <c r="E553" s="91" t="s">
        <v>19</v>
      </c>
      <c r="F553" s="121">
        <v>41519</v>
      </c>
      <c r="G553" s="118">
        <f>64.9+62.2+280+64.9+64.9+436.6+64.9+40.13+436.6+64.9</f>
        <v>1580.0300000000002</v>
      </c>
      <c r="H553" s="72"/>
      <c r="I553" s="120">
        <v>2250</v>
      </c>
      <c r="J553" s="72"/>
      <c r="K553" s="72"/>
      <c r="L553" s="72"/>
      <c r="M553" s="72"/>
      <c r="N553" s="72"/>
      <c r="O553" s="72"/>
      <c r="P553" s="72"/>
      <c r="Q553" s="63">
        <f t="shared" si="44"/>
        <v>2439.98</v>
      </c>
      <c r="R553" s="72">
        <f t="shared" si="42"/>
        <v>0</v>
      </c>
      <c r="S553" s="63">
        <f t="shared" si="43"/>
        <v>2439.98</v>
      </c>
    </row>
    <row r="554" spans="1:19" x14ac:dyDescent="0.25">
      <c r="A554" s="116" t="s">
        <v>2174</v>
      </c>
      <c r="B554" s="116" t="s">
        <v>2175</v>
      </c>
      <c r="C554" s="117">
        <v>358</v>
      </c>
      <c r="D554" s="91" t="s">
        <v>2176</v>
      </c>
      <c r="E554" s="91" t="s">
        <v>19</v>
      </c>
      <c r="F554" s="121">
        <v>41523</v>
      </c>
      <c r="G554" s="118">
        <f>41.3+86.83+3235.27+221.81+86.83+41.3+158.48+41.3+119.42+131.46</f>
        <v>4164</v>
      </c>
      <c r="H554" s="72"/>
      <c r="I554" s="120">
        <v>750</v>
      </c>
      <c r="J554" s="72"/>
      <c r="K554" s="72"/>
      <c r="L554" s="72"/>
      <c r="M554" s="72"/>
      <c r="N554" s="72"/>
      <c r="O554" s="72"/>
      <c r="P554" s="72"/>
      <c r="Q554" s="63">
        <f t="shared" si="44"/>
        <v>2330.0300000000002</v>
      </c>
      <c r="R554" s="72">
        <f t="shared" si="42"/>
        <v>0</v>
      </c>
      <c r="S554" s="63">
        <f t="shared" si="43"/>
        <v>2330.0300000000002</v>
      </c>
    </row>
    <row r="555" spans="1:19" x14ac:dyDescent="0.25">
      <c r="A555" s="116" t="s">
        <v>2177</v>
      </c>
      <c r="B555" s="116" t="s">
        <v>2178</v>
      </c>
      <c r="C555" s="117">
        <v>359</v>
      </c>
      <c r="D555" s="91" t="s">
        <v>2179</v>
      </c>
      <c r="E555" s="91" t="s">
        <v>19</v>
      </c>
      <c r="F555" s="121">
        <v>41451</v>
      </c>
      <c r="G555" s="118">
        <v>150.52000000000001</v>
      </c>
      <c r="H555" s="72"/>
      <c r="I555" s="72"/>
      <c r="J555" s="72"/>
      <c r="K555" s="72"/>
      <c r="L555" s="72"/>
      <c r="M555" s="72"/>
      <c r="N555" s="72"/>
      <c r="O555" s="72"/>
      <c r="P555" s="72"/>
      <c r="Q555" s="63">
        <f t="shared" si="44"/>
        <v>4164</v>
      </c>
      <c r="R555" s="72">
        <f t="shared" si="42"/>
        <v>0</v>
      </c>
      <c r="S555" s="63">
        <f t="shared" si="43"/>
        <v>4164</v>
      </c>
    </row>
    <row r="556" spans="1:19" x14ac:dyDescent="0.25">
      <c r="A556" s="116" t="s">
        <v>2180</v>
      </c>
      <c r="B556" s="116" t="s">
        <v>2181</v>
      </c>
      <c r="C556" s="117">
        <v>360</v>
      </c>
      <c r="D556" s="91" t="s">
        <v>2182</v>
      </c>
      <c r="E556" s="91" t="s">
        <v>19</v>
      </c>
      <c r="F556" s="121">
        <v>41512</v>
      </c>
      <c r="G556" s="118">
        <v>98.47</v>
      </c>
      <c r="H556" s="72"/>
      <c r="I556" s="72"/>
      <c r="J556" s="72"/>
      <c r="K556" s="72"/>
      <c r="L556" s="72"/>
      <c r="M556" s="72"/>
      <c r="N556" s="72"/>
      <c r="O556" s="72"/>
      <c r="P556" s="72"/>
      <c r="Q556" s="63">
        <f t="shared" si="44"/>
        <v>150.52000000000001</v>
      </c>
      <c r="R556" s="72">
        <f t="shared" si="42"/>
        <v>0</v>
      </c>
      <c r="S556" s="63">
        <f t="shared" si="43"/>
        <v>150.52000000000001</v>
      </c>
    </row>
    <row r="557" spans="1:19" x14ac:dyDescent="0.25">
      <c r="A557" s="116" t="s">
        <v>2180</v>
      </c>
      <c r="B557" s="116" t="s">
        <v>2181</v>
      </c>
      <c r="C557" s="117">
        <v>360</v>
      </c>
      <c r="D557" s="91" t="s">
        <v>2183</v>
      </c>
      <c r="E557" s="91" t="s">
        <v>19</v>
      </c>
      <c r="F557" s="121">
        <v>41512</v>
      </c>
      <c r="G557" s="118">
        <v>96.17</v>
      </c>
      <c r="H557" s="72"/>
      <c r="I557" s="72"/>
      <c r="J557" s="72"/>
      <c r="K557" s="72"/>
      <c r="L557" s="72"/>
      <c r="M557" s="72"/>
      <c r="N557" s="72"/>
      <c r="O557" s="72"/>
      <c r="P557" s="72"/>
      <c r="Q557" s="63">
        <f t="shared" si="44"/>
        <v>98.47</v>
      </c>
      <c r="R557" s="72">
        <f t="shared" si="42"/>
        <v>0</v>
      </c>
      <c r="S557" s="63">
        <f t="shared" si="43"/>
        <v>98.47</v>
      </c>
    </row>
    <row r="558" spans="1:19" x14ac:dyDescent="0.25">
      <c r="A558" s="116" t="s">
        <v>2184</v>
      </c>
      <c r="B558" s="116" t="s">
        <v>2185</v>
      </c>
      <c r="C558" s="117">
        <v>361</v>
      </c>
      <c r="D558" s="91" t="s">
        <v>2186</v>
      </c>
      <c r="E558" s="91" t="s">
        <v>19</v>
      </c>
      <c r="F558" s="121">
        <v>41520</v>
      </c>
      <c r="G558" s="118">
        <f>107.7</f>
        <v>107.7</v>
      </c>
      <c r="H558" s="72"/>
      <c r="I558" s="72"/>
      <c r="J558" s="72"/>
      <c r="K558" s="72"/>
      <c r="L558" s="72"/>
      <c r="M558" s="72"/>
      <c r="N558" s="72"/>
      <c r="O558" s="72"/>
      <c r="P558" s="72"/>
      <c r="Q558" s="63">
        <f t="shared" si="44"/>
        <v>96.17</v>
      </c>
      <c r="R558" s="72">
        <f t="shared" ref="R558:R589" si="45">+H558+J558+L558+N558+P558</f>
        <v>0</v>
      </c>
      <c r="S558" s="63">
        <f t="shared" si="43"/>
        <v>96.17</v>
      </c>
    </row>
    <row r="559" spans="1:19" x14ac:dyDescent="0.25">
      <c r="A559" s="116" t="s">
        <v>2184</v>
      </c>
      <c r="B559" s="116" t="s">
        <v>2185</v>
      </c>
      <c r="C559" s="117">
        <v>361</v>
      </c>
      <c r="D559" s="91" t="s">
        <v>2187</v>
      </c>
      <c r="E559" s="91" t="s">
        <v>19</v>
      </c>
      <c r="F559" s="121">
        <v>41520</v>
      </c>
      <c r="G559" s="118">
        <f>55.4+238+206.1+70.4</f>
        <v>569.9</v>
      </c>
      <c r="H559" s="72"/>
      <c r="I559" s="72"/>
      <c r="J559" s="72"/>
      <c r="K559" s="72"/>
      <c r="L559" s="72"/>
      <c r="M559" s="72"/>
      <c r="N559" s="72"/>
      <c r="O559" s="72"/>
      <c r="P559" s="72"/>
      <c r="Q559" s="63">
        <f t="shared" si="44"/>
        <v>107.7</v>
      </c>
      <c r="R559" s="72">
        <f t="shared" si="45"/>
        <v>0</v>
      </c>
      <c r="S559" s="63">
        <f t="shared" si="43"/>
        <v>107.7</v>
      </c>
    </row>
    <row r="560" spans="1:19" x14ac:dyDescent="0.25">
      <c r="A560" s="116" t="s">
        <v>2184</v>
      </c>
      <c r="B560" s="116" t="s">
        <v>2185</v>
      </c>
      <c r="C560" s="117">
        <v>361</v>
      </c>
      <c r="D560" s="91" t="s">
        <v>2188</v>
      </c>
      <c r="E560" s="91" t="s">
        <v>19</v>
      </c>
      <c r="F560" s="121">
        <v>41520</v>
      </c>
      <c r="G560" s="118">
        <f>145.7</f>
        <v>145.69999999999999</v>
      </c>
      <c r="H560" s="72"/>
      <c r="I560" s="72"/>
      <c r="J560" s="72"/>
      <c r="K560" s="72"/>
      <c r="L560" s="72"/>
      <c r="M560" s="72"/>
      <c r="N560" s="72"/>
      <c r="O560" s="72"/>
      <c r="P560" s="72"/>
      <c r="Q560" s="63">
        <f t="shared" si="44"/>
        <v>569.9</v>
      </c>
      <c r="R560" s="72">
        <f t="shared" si="45"/>
        <v>0</v>
      </c>
      <c r="S560" s="63">
        <f t="shared" si="43"/>
        <v>569.9</v>
      </c>
    </row>
    <row r="561" spans="1:19" x14ac:dyDescent="0.25">
      <c r="A561" s="116" t="s">
        <v>2184</v>
      </c>
      <c r="B561" s="116" t="s">
        <v>2185</v>
      </c>
      <c r="C561" s="117">
        <v>361</v>
      </c>
      <c r="D561" s="91" t="s">
        <v>2189</v>
      </c>
      <c r="E561" s="91" t="s">
        <v>19</v>
      </c>
      <c r="F561" s="121">
        <v>41520</v>
      </c>
      <c r="G561" s="118">
        <f>220.2</f>
        <v>220.2</v>
      </c>
      <c r="H561" s="72"/>
      <c r="I561" s="72"/>
      <c r="J561" s="72"/>
      <c r="K561" s="72"/>
      <c r="L561" s="72"/>
      <c r="M561" s="72"/>
      <c r="N561" s="72"/>
      <c r="O561" s="72"/>
      <c r="P561" s="72"/>
      <c r="Q561" s="63">
        <f t="shared" si="44"/>
        <v>145.69999999999999</v>
      </c>
      <c r="R561" s="72">
        <f t="shared" si="45"/>
        <v>0</v>
      </c>
      <c r="S561" s="63">
        <f t="shared" si="43"/>
        <v>145.69999999999999</v>
      </c>
    </row>
    <row r="562" spans="1:19" x14ac:dyDescent="0.25">
      <c r="A562" s="116" t="s">
        <v>2190</v>
      </c>
      <c r="B562" s="116" t="s">
        <v>2191</v>
      </c>
      <c r="C562" s="117">
        <v>362</v>
      </c>
      <c r="D562" s="91" t="s">
        <v>2192</v>
      </c>
      <c r="E562" s="91" t="s">
        <v>19</v>
      </c>
      <c r="F562" s="121">
        <v>41587</v>
      </c>
      <c r="G562" s="118">
        <v>169.59</v>
      </c>
      <c r="H562" s="72"/>
      <c r="I562" s="72"/>
      <c r="J562" s="72"/>
      <c r="K562" s="72"/>
      <c r="L562" s="72"/>
      <c r="M562" s="72"/>
      <c r="N562" s="72"/>
      <c r="O562" s="72"/>
      <c r="P562" s="72"/>
      <c r="Q562" s="63">
        <f t="shared" si="44"/>
        <v>220.2</v>
      </c>
      <c r="R562" s="72">
        <f t="shared" si="45"/>
        <v>0</v>
      </c>
      <c r="S562" s="63">
        <f t="shared" si="43"/>
        <v>220.2</v>
      </c>
    </row>
    <row r="563" spans="1:19" x14ac:dyDescent="0.25">
      <c r="A563" s="116" t="s">
        <v>2193</v>
      </c>
      <c r="B563" s="116" t="s">
        <v>2194</v>
      </c>
      <c r="C563" s="117">
        <v>363</v>
      </c>
      <c r="D563" s="91" t="s">
        <v>2195</v>
      </c>
      <c r="E563" s="91" t="s">
        <v>19</v>
      </c>
      <c r="F563" s="121">
        <v>41519</v>
      </c>
      <c r="G563" s="118">
        <f>26.2+140.8+110.6</f>
        <v>277.60000000000002</v>
      </c>
      <c r="H563" s="72"/>
      <c r="I563" s="72"/>
      <c r="J563" s="72"/>
      <c r="K563" s="72"/>
      <c r="L563" s="72"/>
      <c r="M563" s="72"/>
      <c r="N563" s="72"/>
      <c r="O563" s="72"/>
      <c r="P563" s="72"/>
      <c r="Q563" s="63">
        <f t="shared" si="44"/>
        <v>169.59</v>
      </c>
      <c r="R563" s="72">
        <f t="shared" si="45"/>
        <v>0</v>
      </c>
      <c r="S563" s="63">
        <f t="shared" si="43"/>
        <v>169.59</v>
      </c>
    </row>
    <row r="564" spans="1:19" x14ac:dyDescent="0.25">
      <c r="A564" s="116" t="s">
        <v>1459</v>
      </c>
      <c r="B564" s="116" t="s">
        <v>1460</v>
      </c>
      <c r="C564" s="117">
        <v>364</v>
      </c>
      <c r="D564" s="91" t="s">
        <v>2196</v>
      </c>
      <c r="E564" s="91" t="s">
        <v>19</v>
      </c>
      <c r="F564" s="121">
        <v>41541</v>
      </c>
      <c r="G564" s="118">
        <f>238+372.1+35</f>
        <v>645.1</v>
      </c>
      <c r="H564" s="72"/>
      <c r="I564" s="72"/>
      <c r="J564" s="72"/>
      <c r="K564" s="72"/>
      <c r="L564" s="72"/>
      <c r="M564" s="72"/>
      <c r="N564" s="72"/>
      <c r="O564" s="72"/>
      <c r="P564" s="72"/>
      <c r="Q564" s="63">
        <f t="shared" si="44"/>
        <v>277.60000000000002</v>
      </c>
      <c r="R564" s="72">
        <f t="shared" si="45"/>
        <v>0</v>
      </c>
      <c r="S564" s="63">
        <f t="shared" si="43"/>
        <v>277.60000000000002</v>
      </c>
    </row>
    <row r="565" spans="1:19" x14ac:dyDescent="0.25">
      <c r="A565" s="116" t="s">
        <v>1459</v>
      </c>
      <c r="B565" s="116" t="s">
        <v>1460</v>
      </c>
      <c r="C565" s="117">
        <v>364</v>
      </c>
      <c r="D565" s="91" t="s">
        <v>1461</v>
      </c>
      <c r="E565" s="91" t="s">
        <v>19</v>
      </c>
      <c r="F565" s="121">
        <v>41541</v>
      </c>
      <c r="G565" s="118">
        <v>305.7</v>
      </c>
      <c r="H565" s="72"/>
      <c r="I565" s="72"/>
      <c r="J565" s="72"/>
      <c r="K565" s="72"/>
      <c r="L565" s="72"/>
      <c r="M565" s="72"/>
      <c r="N565" s="72"/>
      <c r="O565" s="72"/>
      <c r="P565" s="72"/>
      <c r="Q565" s="63">
        <f t="shared" si="44"/>
        <v>645.1</v>
      </c>
      <c r="R565" s="72">
        <f t="shared" si="45"/>
        <v>0</v>
      </c>
      <c r="S565" s="63">
        <f t="shared" si="43"/>
        <v>645.1</v>
      </c>
    </row>
    <row r="566" spans="1:19" x14ac:dyDescent="0.25">
      <c r="A566" s="116" t="s">
        <v>1459</v>
      </c>
      <c r="B566" s="116" t="s">
        <v>1460</v>
      </c>
      <c r="C566" s="117">
        <v>364</v>
      </c>
      <c r="D566" s="91" t="s">
        <v>2197</v>
      </c>
      <c r="E566" s="91" t="s">
        <v>19</v>
      </c>
      <c r="F566" s="121">
        <v>41541</v>
      </c>
      <c r="G566" s="118">
        <v>115.7</v>
      </c>
      <c r="H566" s="72"/>
      <c r="I566" s="72"/>
      <c r="J566" s="72"/>
      <c r="K566" s="72"/>
      <c r="L566" s="72"/>
      <c r="M566" s="72"/>
      <c r="N566" s="72"/>
      <c r="O566" s="72"/>
      <c r="P566" s="72"/>
      <c r="Q566" s="63">
        <f t="shared" si="44"/>
        <v>305.7</v>
      </c>
      <c r="R566" s="72">
        <f t="shared" si="45"/>
        <v>0</v>
      </c>
      <c r="S566" s="63">
        <f t="shared" si="43"/>
        <v>305.7</v>
      </c>
    </row>
    <row r="567" spans="1:19" x14ac:dyDescent="0.25">
      <c r="A567" s="116" t="s">
        <v>2198</v>
      </c>
      <c r="B567" s="116" t="s">
        <v>2199</v>
      </c>
      <c r="C567" s="117">
        <v>365</v>
      </c>
      <c r="D567" s="91" t="s">
        <v>2200</v>
      </c>
      <c r="E567" s="91" t="s">
        <v>19</v>
      </c>
      <c r="F567" s="121">
        <v>41528</v>
      </c>
      <c r="G567" s="118">
        <v>758.35</v>
      </c>
      <c r="H567" s="72"/>
      <c r="I567" s="120">
        <f>750+750</f>
        <v>1500</v>
      </c>
      <c r="J567" s="72"/>
      <c r="K567" s="72"/>
      <c r="L567" s="72"/>
      <c r="M567" s="72"/>
      <c r="N567" s="72"/>
      <c r="O567" s="72"/>
      <c r="P567" s="72"/>
      <c r="Q567" s="63">
        <f t="shared" si="44"/>
        <v>1615.7</v>
      </c>
      <c r="R567" s="72">
        <f t="shared" si="45"/>
        <v>0</v>
      </c>
      <c r="S567" s="63">
        <f t="shared" si="43"/>
        <v>1615.7</v>
      </c>
    </row>
    <row r="568" spans="1:19" x14ac:dyDescent="0.25">
      <c r="A568" s="116" t="s">
        <v>2198</v>
      </c>
      <c r="B568" s="116" t="s">
        <v>2199</v>
      </c>
      <c r="C568" s="117">
        <v>365</v>
      </c>
      <c r="D568" s="91" t="s">
        <v>2201</v>
      </c>
      <c r="E568" s="91" t="s">
        <v>19</v>
      </c>
      <c r="F568" s="121">
        <v>41528</v>
      </c>
      <c r="G568" s="118">
        <f>342.62</f>
        <v>342.62</v>
      </c>
      <c r="H568" s="72"/>
      <c r="I568" s="72"/>
      <c r="J568" s="72"/>
      <c r="K568" s="72"/>
      <c r="L568" s="72"/>
      <c r="M568" s="72"/>
      <c r="N568" s="72"/>
      <c r="O568" s="72"/>
      <c r="P568" s="72"/>
      <c r="Q568" s="63">
        <f t="shared" si="44"/>
        <v>758.35</v>
      </c>
      <c r="R568" s="72">
        <f t="shared" si="45"/>
        <v>0</v>
      </c>
      <c r="S568" s="63">
        <f t="shared" si="43"/>
        <v>758.35</v>
      </c>
    </row>
    <row r="569" spans="1:19" x14ac:dyDescent="0.25">
      <c r="A569" s="116" t="s">
        <v>2202</v>
      </c>
      <c r="B569" s="116" t="s">
        <v>2203</v>
      </c>
      <c r="C569" s="117">
        <v>366</v>
      </c>
      <c r="D569" s="91" t="s">
        <v>2204</v>
      </c>
      <c r="E569" s="91" t="s">
        <v>19</v>
      </c>
      <c r="F569" s="121">
        <v>41541</v>
      </c>
      <c r="G569" s="118">
        <f>238+153.8</f>
        <v>391.8</v>
      </c>
      <c r="H569" s="72"/>
      <c r="I569" s="72"/>
      <c r="J569" s="72"/>
      <c r="K569" s="72"/>
      <c r="L569" s="72"/>
      <c r="M569" s="72"/>
      <c r="N569" s="72"/>
      <c r="O569" s="72"/>
      <c r="P569" s="72"/>
      <c r="Q569" s="63">
        <f t="shared" si="44"/>
        <v>342.62</v>
      </c>
      <c r="R569" s="72">
        <f t="shared" si="45"/>
        <v>0</v>
      </c>
      <c r="S569" s="63">
        <f t="shared" si="43"/>
        <v>342.62</v>
      </c>
    </row>
    <row r="570" spans="1:19" x14ac:dyDescent="0.25">
      <c r="A570" s="116" t="s">
        <v>2202</v>
      </c>
      <c r="B570" s="116" t="s">
        <v>2203</v>
      </c>
      <c r="C570" s="117">
        <v>366</v>
      </c>
      <c r="D570" s="91" t="s">
        <v>4245</v>
      </c>
      <c r="E570" s="91" t="s">
        <v>19</v>
      </c>
      <c r="F570" s="121">
        <v>41528</v>
      </c>
      <c r="G570" s="77">
        <f>348.7</f>
        <v>348.7</v>
      </c>
      <c r="H570" s="72"/>
      <c r="I570" s="72"/>
      <c r="J570" s="72"/>
      <c r="K570" s="72"/>
      <c r="L570" s="72"/>
      <c r="M570" s="72"/>
      <c r="N570" s="72"/>
      <c r="O570" s="72"/>
      <c r="P570" s="72"/>
      <c r="Q570" s="63">
        <f t="shared" si="44"/>
        <v>391.8</v>
      </c>
      <c r="R570" s="72">
        <f t="shared" si="45"/>
        <v>0</v>
      </c>
      <c r="S570" s="63">
        <f t="shared" si="43"/>
        <v>391.8</v>
      </c>
    </row>
    <row r="571" spans="1:19" x14ac:dyDescent="0.25">
      <c r="A571" s="116" t="s">
        <v>1840</v>
      </c>
      <c r="B571" s="116" t="s">
        <v>1841</v>
      </c>
      <c r="C571" s="117">
        <v>367</v>
      </c>
      <c r="D571" s="91" t="s">
        <v>2205</v>
      </c>
      <c r="E571" s="91" t="s">
        <v>19</v>
      </c>
      <c r="F571" s="121">
        <v>41593</v>
      </c>
      <c r="G571" s="118">
        <f>82.6</f>
        <v>82.6</v>
      </c>
      <c r="H571" s="72"/>
      <c r="I571" s="72"/>
      <c r="J571" s="72"/>
      <c r="K571" s="72"/>
      <c r="L571" s="72"/>
      <c r="M571" s="72"/>
      <c r="N571" s="72"/>
      <c r="O571" s="72"/>
      <c r="P571" s="72"/>
      <c r="Q571" s="63">
        <f>+G570+I571+K571+M571+O571</f>
        <v>348.7</v>
      </c>
      <c r="R571" s="72">
        <f t="shared" si="45"/>
        <v>0</v>
      </c>
      <c r="S571" s="63">
        <f>+Q571+R571</f>
        <v>348.7</v>
      </c>
    </row>
    <row r="572" spans="1:19" x14ac:dyDescent="0.25">
      <c r="A572" s="116" t="s">
        <v>2206</v>
      </c>
      <c r="B572" s="116" t="s">
        <v>2207</v>
      </c>
      <c r="C572" s="117">
        <v>368</v>
      </c>
      <c r="D572" s="91" t="s">
        <v>2208</v>
      </c>
      <c r="E572" s="91" t="s">
        <v>19</v>
      </c>
      <c r="F572" s="121">
        <v>41593</v>
      </c>
      <c r="G572" s="118">
        <f>58.23</f>
        <v>58.23</v>
      </c>
      <c r="H572" s="72"/>
      <c r="I572" s="72"/>
      <c r="J572" s="72"/>
      <c r="K572" s="72"/>
      <c r="L572" s="72"/>
      <c r="M572" s="72"/>
      <c r="N572" s="72"/>
      <c r="O572" s="72"/>
      <c r="P572" s="72"/>
      <c r="Q572" s="63">
        <f t="shared" ref="Q572:Q598" si="46">+G571+I572+K572+M572+O572</f>
        <v>82.6</v>
      </c>
      <c r="R572" s="72">
        <f t="shared" si="45"/>
        <v>0</v>
      </c>
      <c r="S572" s="63">
        <f t="shared" si="43"/>
        <v>82.6</v>
      </c>
    </row>
    <row r="573" spans="1:19" x14ac:dyDescent="0.25">
      <c r="A573" s="116" t="s">
        <v>2206</v>
      </c>
      <c r="B573" s="116" t="s">
        <v>2207</v>
      </c>
      <c r="C573" s="117">
        <v>368</v>
      </c>
      <c r="D573" s="91" t="s">
        <v>2209</v>
      </c>
      <c r="E573" s="91" t="s">
        <v>19</v>
      </c>
      <c r="F573" s="121">
        <v>41593</v>
      </c>
      <c r="G573" s="118">
        <f>58.23</f>
        <v>58.23</v>
      </c>
      <c r="H573" s="72"/>
      <c r="I573" s="72"/>
      <c r="J573" s="72"/>
      <c r="K573" s="72"/>
      <c r="L573" s="72"/>
      <c r="M573" s="72"/>
      <c r="N573" s="72"/>
      <c r="O573" s="72"/>
      <c r="P573" s="72"/>
      <c r="Q573" s="63">
        <f t="shared" si="46"/>
        <v>58.23</v>
      </c>
      <c r="R573" s="72">
        <f t="shared" si="45"/>
        <v>0</v>
      </c>
      <c r="S573" s="63">
        <f t="shared" si="43"/>
        <v>58.23</v>
      </c>
    </row>
    <row r="574" spans="1:19" x14ac:dyDescent="0.25">
      <c r="A574" s="116" t="s">
        <v>2210</v>
      </c>
      <c r="B574" s="116" t="s">
        <v>2211</v>
      </c>
      <c r="C574" s="117">
        <v>369</v>
      </c>
      <c r="D574" s="91" t="s">
        <v>2212</v>
      </c>
      <c r="E574" s="91" t="s">
        <v>19</v>
      </c>
      <c r="F574" s="121">
        <v>41593</v>
      </c>
      <c r="G574" s="118">
        <f>216.12</f>
        <v>216.12</v>
      </c>
      <c r="H574" s="72"/>
      <c r="I574" s="72"/>
      <c r="J574" s="72"/>
      <c r="K574" s="72"/>
      <c r="L574" s="72"/>
      <c r="M574" s="72"/>
      <c r="N574" s="72"/>
      <c r="O574" s="72"/>
      <c r="P574" s="72"/>
      <c r="Q574" s="63">
        <f t="shared" si="46"/>
        <v>58.23</v>
      </c>
      <c r="R574" s="72">
        <f t="shared" si="45"/>
        <v>0</v>
      </c>
      <c r="S574" s="63">
        <f t="shared" si="43"/>
        <v>58.23</v>
      </c>
    </row>
    <row r="575" spans="1:19" x14ac:dyDescent="0.25">
      <c r="A575" s="116" t="s">
        <v>2213</v>
      </c>
      <c r="B575" s="116" t="s">
        <v>2214</v>
      </c>
      <c r="C575" s="117">
        <v>370</v>
      </c>
      <c r="D575" s="91" t="s">
        <v>2215</v>
      </c>
      <c r="E575" s="91" t="s">
        <v>19</v>
      </c>
      <c r="F575" s="121">
        <v>41593</v>
      </c>
      <c r="G575" s="118">
        <f>117.17</f>
        <v>117.17</v>
      </c>
      <c r="H575" s="72"/>
      <c r="I575" s="72"/>
      <c r="J575" s="72"/>
      <c r="K575" s="72"/>
      <c r="L575" s="72"/>
      <c r="M575" s="72"/>
      <c r="N575" s="72"/>
      <c r="O575" s="72"/>
      <c r="P575" s="72"/>
      <c r="Q575" s="63">
        <f t="shared" si="46"/>
        <v>216.12</v>
      </c>
      <c r="R575" s="72">
        <f t="shared" si="45"/>
        <v>0</v>
      </c>
      <c r="S575" s="63">
        <f t="shared" si="43"/>
        <v>216.12</v>
      </c>
    </row>
    <row r="576" spans="1:19" x14ac:dyDescent="0.25">
      <c r="A576" s="116" t="s">
        <v>2216</v>
      </c>
      <c r="B576" s="116" t="s">
        <v>2217</v>
      </c>
      <c r="C576" s="117">
        <v>371</v>
      </c>
      <c r="D576" s="91" t="s">
        <v>2218</v>
      </c>
      <c r="E576" s="91" t="s">
        <v>19</v>
      </c>
      <c r="F576" s="121">
        <v>41593</v>
      </c>
      <c r="G576" s="118">
        <f>190.39</f>
        <v>190.39</v>
      </c>
      <c r="H576" s="72"/>
      <c r="I576" s="72"/>
      <c r="J576" s="72"/>
      <c r="K576" s="72"/>
      <c r="L576" s="72"/>
      <c r="M576" s="72"/>
      <c r="N576" s="72"/>
      <c r="O576" s="72"/>
      <c r="P576" s="72"/>
      <c r="Q576" s="63">
        <f t="shared" si="46"/>
        <v>117.17</v>
      </c>
      <c r="R576" s="72">
        <f t="shared" si="45"/>
        <v>0</v>
      </c>
      <c r="S576" s="63">
        <f t="shared" si="43"/>
        <v>117.17</v>
      </c>
    </row>
    <row r="577" spans="1:19" x14ac:dyDescent="0.25">
      <c r="A577" s="116" t="s">
        <v>2219</v>
      </c>
      <c r="B577" s="116" t="s">
        <v>2220</v>
      </c>
      <c r="C577" s="117">
        <v>372</v>
      </c>
      <c r="D577" s="91" t="s">
        <v>2221</v>
      </c>
      <c r="E577" s="91" t="s">
        <v>19</v>
      </c>
      <c r="F577" s="121">
        <v>41593</v>
      </c>
      <c r="G577" s="118">
        <f>47.73</f>
        <v>47.73</v>
      </c>
      <c r="H577" s="72"/>
      <c r="I577" s="72"/>
      <c r="J577" s="72"/>
      <c r="K577" s="72"/>
      <c r="L577" s="72"/>
      <c r="M577" s="72"/>
      <c r="N577" s="72"/>
      <c r="O577" s="72"/>
      <c r="P577" s="72"/>
      <c r="Q577" s="63">
        <f t="shared" si="46"/>
        <v>190.39</v>
      </c>
      <c r="R577" s="72">
        <f t="shared" si="45"/>
        <v>0</v>
      </c>
      <c r="S577" s="63">
        <f t="shared" si="43"/>
        <v>190.39</v>
      </c>
    </row>
    <row r="578" spans="1:19" x14ac:dyDescent="0.25">
      <c r="A578" s="116" t="s">
        <v>2222</v>
      </c>
      <c r="B578" s="116" t="s">
        <v>2223</v>
      </c>
      <c r="C578" s="117">
        <v>373</v>
      </c>
      <c r="D578" s="91" t="s">
        <v>2224</v>
      </c>
      <c r="E578" s="91" t="s">
        <v>19</v>
      </c>
      <c r="F578" s="121">
        <v>41593</v>
      </c>
      <c r="G578" s="118">
        <f>82.6</f>
        <v>82.6</v>
      </c>
      <c r="H578" s="72"/>
      <c r="I578" s="72"/>
      <c r="J578" s="72"/>
      <c r="K578" s="72"/>
      <c r="L578" s="72"/>
      <c r="M578" s="72"/>
      <c r="N578" s="72"/>
      <c r="O578" s="72"/>
      <c r="P578" s="72"/>
      <c r="Q578" s="63">
        <f t="shared" si="46"/>
        <v>47.73</v>
      </c>
      <c r="R578" s="72">
        <f t="shared" si="45"/>
        <v>0</v>
      </c>
      <c r="S578" s="63">
        <f t="shared" si="43"/>
        <v>47.73</v>
      </c>
    </row>
    <row r="579" spans="1:19" x14ac:dyDescent="0.25">
      <c r="A579" s="116" t="s">
        <v>2222</v>
      </c>
      <c r="B579" s="116" t="s">
        <v>2223</v>
      </c>
      <c r="C579" s="117">
        <v>373</v>
      </c>
      <c r="D579" s="91" t="s">
        <v>2225</v>
      </c>
      <c r="E579" s="91" t="s">
        <v>19</v>
      </c>
      <c r="F579" s="121">
        <v>41593</v>
      </c>
      <c r="G579" s="118">
        <f>84.96</f>
        <v>84.96</v>
      </c>
      <c r="H579" s="72"/>
      <c r="I579" s="72"/>
      <c r="J579" s="72"/>
      <c r="K579" s="72"/>
      <c r="L579" s="72"/>
      <c r="M579" s="72"/>
      <c r="N579" s="72"/>
      <c r="O579" s="72"/>
      <c r="P579" s="72"/>
      <c r="Q579" s="63">
        <f t="shared" si="46"/>
        <v>82.6</v>
      </c>
      <c r="R579" s="72">
        <f t="shared" si="45"/>
        <v>0</v>
      </c>
      <c r="S579" s="63">
        <f t="shared" si="43"/>
        <v>82.6</v>
      </c>
    </row>
    <row r="580" spans="1:19" x14ac:dyDescent="0.25">
      <c r="A580" s="116" t="s">
        <v>2226</v>
      </c>
      <c r="B580" s="116" t="s">
        <v>2227</v>
      </c>
      <c r="C580" s="117">
        <v>374</v>
      </c>
      <c r="D580" s="91" t="s">
        <v>2228</v>
      </c>
      <c r="E580" s="91" t="s">
        <v>19</v>
      </c>
      <c r="F580" s="121">
        <v>41593</v>
      </c>
      <c r="G580" s="118">
        <f>150.27</f>
        <v>150.27000000000001</v>
      </c>
      <c r="H580" s="72"/>
      <c r="I580" s="72"/>
      <c r="J580" s="72"/>
      <c r="K580" s="72"/>
      <c r="L580" s="72"/>
      <c r="M580" s="72"/>
      <c r="N580" s="72"/>
      <c r="O580" s="72"/>
      <c r="P580" s="72"/>
      <c r="Q580" s="63">
        <f t="shared" si="46"/>
        <v>84.96</v>
      </c>
      <c r="R580" s="72">
        <f t="shared" si="45"/>
        <v>0</v>
      </c>
      <c r="S580" s="63">
        <f t="shared" si="43"/>
        <v>84.96</v>
      </c>
    </row>
    <row r="581" spans="1:19" x14ac:dyDescent="0.25">
      <c r="A581" s="116" t="s">
        <v>2226</v>
      </c>
      <c r="B581" s="116" t="s">
        <v>2227</v>
      </c>
      <c r="C581" s="117">
        <v>374</v>
      </c>
      <c r="D581" s="91" t="s">
        <v>2229</v>
      </c>
      <c r="E581" s="91" t="s">
        <v>19</v>
      </c>
      <c r="F581" s="121">
        <v>41593</v>
      </c>
      <c r="G581" s="118">
        <f>146.73</f>
        <v>146.72999999999999</v>
      </c>
      <c r="H581" s="72"/>
      <c r="I581" s="72"/>
      <c r="J581" s="72"/>
      <c r="K581" s="72"/>
      <c r="L581" s="72"/>
      <c r="M581" s="72"/>
      <c r="N581" s="72"/>
      <c r="O581" s="72"/>
      <c r="P581" s="72"/>
      <c r="Q581" s="63">
        <f t="shared" si="46"/>
        <v>150.27000000000001</v>
      </c>
      <c r="R581" s="72">
        <f t="shared" si="45"/>
        <v>0</v>
      </c>
      <c r="S581" s="63">
        <f t="shared" si="43"/>
        <v>150.27000000000001</v>
      </c>
    </row>
    <row r="582" spans="1:19" x14ac:dyDescent="0.25">
      <c r="A582" s="116" t="s">
        <v>2230</v>
      </c>
      <c r="B582" s="116" t="s">
        <v>2231</v>
      </c>
      <c r="C582" s="117">
        <v>375</v>
      </c>
      <c r="D582" s="91" t="s">
        <v>2232</v>
      </c>
      <c r="E582" s="91" t="s">
        <v>19</v>
      </c>
      <c r="F582" s="121">
        <v>41593</v>
      </c>
      <c r="G582" s="118">
        <f>238.12</f>
        <v>238.12</v>
      </c>
      <c r="H582" s="72"/>
      <c r="I582" s="72"/>
      <c r="J582" s="72"/>
      <c r="K582" s="72"/>
      <c r="L582" s="72"/>
      <c r="M582" s="72"/>
      <c r="N582" s="72"/>
      <c r="O582" s="72"/>
      <c r="P582" s="72"/>
      <c r="Q582" s="63">
        <f t="shared" si="46"/>
        <v>146.72999999999999</v>
      </c>
      <c r="R582" s="72">
        <f t="shared" si="45"/>
        <v>0</v>
      </c>
      <c r="S582" s="63">
        <f t="shared" si="43"/>
        <v>146.72999999999999</v>
      </c>
    </row>
    <row r="583" spans="1:19" x14ac:dyDescent="0.25">
      <c r="A583" s="116" t="s">
        <v>2230</v>
      </c>
      <c r="B583" s="116" t="s">
        <v>2231</v>
      </c>
      <c r="C583" s="117">
        <v>375</v>
      </c>
      <c r="D583" s="91" t="s">
        <v>2233</v>
      </c>
      <c r="E583" s="91" t="s">
        <v>19</v>
      </c>
      <c r="F583" s="121">
        <v>41593</v>
      </c>
      <c r="G583" s="118">
        <f>198</f>
        <v>198</v>
      </c>
      <c r="H583" s="72"/>
      <c r="I583" s="72"/>
      <c r="J583" s="72"/>
      <c r="K583" s="72"/>
      <c r="L583" s="72"/>
      <c r="M583" s="72"/>
      <c r="N583" s="72"/>
      <c r="O583" s="72"/>
      <c r="P583" s="72"/>
      <c r="Q583" s="63">
        <f t="shared" si="46"/>
        <v>238.12</v>
      </c>
      <c r="R583" s="72">
        <f t="shared" si="45"/>
        <v>0</v>
      </c>
      <c r="S583" s="63">
        <f t="shared" si="43"/>
        <v>238.12</v>
      </c>
    </row>
    <row r="584" spans="1:19" x14ac:dyDescent="0.25">
      <c r="A584" s="116" t="s">
        <v>2234</v>
      </c>
      <c r="B584" s="116" t="s">
        <v>2235</v>
      </c>
      <c r="C584" s="117">
        <v>376</v>
      </c>
      <c r="D584" s="91" t="s">
        <v>2236</v>
      </c>
      <c r="E584" s="91" t="s">
        <v>19</v>
      </c>
      <c r="F584" s="121">
        <v>41593</v>
      </c>
      <c r="G584" s="118">
        <f>92.93</f>
        <v>92.93</v>
      </c>
      <c r="H584" s="72"/>
      <c r="I584" s="72"/>
      <c r="J584" s="72"/>
      <c r="K584" s="72"/>
      <c r="L584" s="72"/>
      <c r="M584" s="72"/>
      <c r="N584" s="72"/>
      <c r="O584" s="72"/>
      <c r="P584" s="72"/>
      <c r="Q584" s="63">
        <f t="shared" si="46"/>
        <v>198</v>
      </c>
      <c r="R584" s="72">
        <f t="shared" si="45"/>
        <v>0</v>
      </c>
      <c r="S584" s="63">
        <f t="shared" si="43"/>
        <v>198</v>
      </c>
    </row>
    <row r="585" spans="1:19" x14ac:dyDescent="0.25">
      <c r="A585" s="116" t="s">
        <v>2237</v>
      </c>
      <c r="B585" s="116" t="s">
        <v>2238</v>
      </c>
      <c r="C585" s="117">
        <v>377</v>
      </c>
      <c r="D585" s="91" t="s">
        <v>2239</v>
      </c>
      <c r="E585" s="91" t="s">
        <v>19</v>
      </c>
      <c r="F585" s="121">
        <v>41593</v>
      </c>
      <c r="G585" s="118">
        <f>134.76</f>
        <v>134.76</v>
      </c>
      <c r="H585" s="72"/>
      <c r="I585" s="72"/>
      <c r="J585" s="72"/>
      <c r="K585" s="72"/>
      <c r="L585" s="72"/>
      <c r="M585" s="72"/>
      <c r="N585" s="72"/>
      <c r="O585" s="72"/>
      <c r="P585" s="72"/>
      <c r="Q585" s="63">
        <f t="shared" si="46"/>
        <v>92.93</v>
      </c>
      <c r="R585" s="72">
        <f t="shared" si="45"/>
        <v>0</v>
      </c>
      <c r="S585" s="63">
        <f t="shared" si="43"/>
        <v>92.93</v>
      </c>
    </row>
    <row r="586" spans="1:19" x14ac:dyDescent="0.25">
      <c r="A586" s="116" t="s">
        <v>2240</v>
      </c>
      <c r="B586" s="116" t="s">
        <v>2241</v>
      </c>
      <c r="C586" s="117">
        <v>378</v>
      </c>
      <c r="D586" s="91" t="s">
        <v>2242</v>
      </c>
      <c r="E586" s="91" t="s">
        <v>19</v>
      </c>
      <c r="F586" s="121">
        <v>41593</v>
      </c>
      <c r="G586" s="118">
        <f>83.6</f>
        <v>83.6</v>
      </c>
      <c r="H586" s="72"/>
      <c r="I586" s="72"/>
      <c r="J586" s="72"/>
      <c r="K586" s="72"/>
      <c r="L586" s="72"/>
      <c r="M586" s="72"/>
      <c r="N586" s="72"/>
      <c r="O586" s="72"/>
      <c r="P586" s="72"/>
      <c r="Q586" s="63">
        <f t="shared" si="46"/>
        <v>134.76</v>
      </c>
      <c r="R586" s="72">
        <f t="shared" si="45"/>
        <v>0</v>
      </c>
      <c r="S586" s="63">
        <f t="shared" si="43"/>
        <v>134.76</v>
      </c>
    </row>
    <row r="587" spans="1:19" x14ac:dyDescent="0.25">
      <c r="A587" s="116" t="s">
        <v>2243</v>
      </c>
      <c r="B587" s="116" t="s">
        <v>960</v>
      </c>
      <c r="C587" s="117">
        <v>379</v>
      </c>
      <c r="D587" s="91" t="s">
        <v>2244</v>
      </c>
      <c r="E587" s="91" t="s">
        <v>19</v>
      </c>
      <c r="F587" s="121">
        <v>41529</v>
      </c>
      <c r="G587" s="118">
        <f>238+236.92+71.56+41.3</f>
        <v>587.78</v>
      </c>
      <c r="H587" s="72"/>
      <c r="I587" s="120">
        <v>250</v>
      </c>
      <c r="J587" s="72"/>
      <c r="K587" s="72"/>
      <c r="L587" s="72"/>
      <c r="M587" s="72"/>
      <c r="N587" s="72"/>
      <c r="O587" s="72"/>
      <c r="P587" s="72"/>
      <c r="Q587" s="63">
        <f t="shared" si="46"/>
        <v>333.6</v>
      </c>
      <c r="R587" s="72">
        <f t="shared" si="45"/>
        <v>0</v>
      </c>
      <c r="S587" s="63">
        <f t="shared" si="43"/>
        <v>333.6</v>
      </c>
    </row>
    <row r="588" spans="1:19" x14ac:dyDescent="0.25">
      <c r="A588" s="116" t="s">
        <v>2245</v>
      </c>
      <c r="B588" s="116" t="s">
        <v>2246</v>
      </c>
      <c r="C588" s="117">
        <v>380</v>
      </c>
      <c r="D588" s="91" t="s">
        <v>2247</v>
      </c>
      <c r="E588" s="91" t="s">
        <v>19</v>
      </c>
      <c r="F588" s="121">
        <v>41541</v>
      </c>
      <c r="G588" s="118">
        <f>238+363</f>
        <v>601</v>
      </c>
      <c r="H588" s="72"/>
      <c r="I588" s="72"/>
      <c r="J588" s="72"/>
      <c r="K588" s="72"/>
      <c r="L588" s="72"/>
      <c r="M588" s="72"/>
      <c r="N588" s="72"/>
      <c r="O588" s="72"/>
      <c r="P588" s="72"/>
      <c r="Q588" s="63">
        <f t="shared" si="46"/>
        <v>587.78</v>
      </c>
      <c r="R588" s="72">
        <f t="shared" si="45"/>
        <v>0</v>
      </c>
      <c r="S588" s="63">
        <f t="shared" si="43"/>
        <v>587.78</v>
      </c>
    </row>
    <row r="589" spans="1:19" x14ac:dyDescent="0.25">
      <c r="A589" s="116" t="s">
        <v>2245</v>
      </c>
      <c r="B589" s="116" t="s">
        <v>2246</v>
      </c>
      <c r="C589" s="117">
        <v>380</v>
      </c>
      <c r="D589" s="91" t="s">
        <v>2248</v>
      </c>
      <c r="E589" s="91" t="s">
        <v>19</v>
      </c>
      <c r="F589" s="121">
        <v>41541</v>
      </c>
      <c r="G589" s="118">
        <f>70</f>
        <v>70</v>
      </c>
      <c r="H589" s="72"/>
      <c r="I589" s="72"/>
      <c r="J589" s="72"/>
      <c r="K589" s="72"/>
      <c r="L589" s="72"/>
      <c r="M589" s="72"/>
      <c r="N589" s="72"/>
      <c r="O589" s="72"/>
      <c r="P589" s="72"/>
      <c r="Q589" s="63">
        <f t="shared" si="46"/>
        <v>601</v>
      </c>
      <c r="R589" s="72">
        <f t="shared" si="45"/>
        <v>0</v>
      </c>
      <c r="S589" s="63">
        <f t="shared" si="43"/>
        <v>601</v>
      </c>
    </row>
    <row r="590" spans="1:19" x14ac:dyDescent="0.25">
      <c r="A590" s="116" t="s">
        <v>2249</v>
      </c>
      <c r="B590" s="116" t="s">
        <v>2250</v>
      </c>
      <c r="C590" s="117">
        <v>381</v>
      </c>
      <c r="D590" s="91" t="s">
        <v>2251</v>
      </c>
      <c r="E590" s="91" t="s">
        <v>19</v>
      </c>
      <c r="F590" s="121">
        <v>41541</v>
      </c>
      <c r="G590" s="118">
        <f>238+189.5+70.2</f>
        <v>497.7</v>
      </c>
      <c r="H590" s="72"/>
      <c r="I590" s="72"/>
      <c r="J590" s="72"/>
      <c r="K590" s="72"/>
      <c r="L590" s="72"/>
      <c r="M590" s="72"/>
      <c r="N590" s="72"/>
      <c r="O590" s="72"/>
      <c r="P590" s="72"/>
      <c r="Q590" s="63">
        <f t="shared" si="46"/>
        <v>70</v>
      </c>
      <c r="R590" s="72">
        <f t="shared" ref="Q590:R653" si="47">+H590+J590+L590+N590+P590</f>
        <v>0</v>
      </c>
      <c r="S590" s="63">
        <f t="shared" ref="S590:S653" si="48">+Q590+R590</f>
        <v>70</v>
      </c>
    </row>
    <row r="591" spans="1:19" x14ac:dyDescent="0.25">
      <c r="A591" s="116" t="s">
        <v>2252</v>
      </c>
      <c r="B591" s="116" t="s">
        <v>2253</v>
      </c>
      <c r="C591" s="117">
        <v>382</v>
      </c>
      <c r="D591" s="91" t="s">
        <v>2254</v>
      </c>
      <c r="E591" s="91" t="s">
        <v>19</v>
      </c>
      <c r="F591" s="121">
        <v>41521</v>
      </c>
      <c r="G591" s="118">
        <v>63.05</v>
      </c>
      <c r="H591" s="72"/>
      <c r="I591" s="72"/>
      <c r="J591" s="72"/>
      <c r="K591" s="72"/>
      <c r="L591" s="72"/>
      <c r="M591" s="72"/>
      <c r="N591" s="72"/>
      <c r="O591" s="72"/>
      <c r="P591" s="72"/>
      <c r="Q591" s="63">
        <f t="shared" si="46"/>
        <v>497.7</v>
      </c>
      <c r="R591" s="72">
        <f t="shared" si="47"/>
        <v>0</v>
      </c>
      <c r="S591" s="63">
        <f t="shared" si="48"/>
        <v>497.7</v>
      </c>
    </row>
    <row r="592" spans="1:19" x14ac:dyDescent="0.25">
      <c r="A592" s="116" t="s">
        <v>2252</v>
      </c>
      <c r="B592" s="116" t="s">
        <v>2253</v>
      </c>
      <c r="C592" s="117">
        <v>382</v>
      </c>
      <c r="D592" s="91" t="s">
        <v>2255</v>
      </c>
      <c r="E592" s="91" t="s">
        <v>19</v>
      </c>
      <c r="F592" s="121">
        <v>41521</v>
      </c>
      <c r="G592" s="118">
        <v>50.43</v>
      </c>
      <c r="H592" s="72"/>
      <c r="I592" s="72"/>
      <c r="J592" s="72"/>
      <c r="K592" s="72"/>
      <c r="L592" s="72"/>
      <c r="M592" s="72"/>
      <c r="N592" s="72"/>
      <c r="O592" s="72"/>
      <c r="P592" s="72"/>
      <c r="Q592" s="63">
        <f t="shared" si="46"/>
        <v>63.05</v>
      </c>
      <c r="R592" s="72">
        <f t="shared" si="47"/>
        <v>0</v>
      </c>
      <c r="S592" s="63">
        <f t="shared" si="48"/>
        <v>63.05</v>
      </c>
    </row>
    <row r="593" spans="1:19" x14ac:dyDescent="0.25">
      <c r="A593" s="116" t="s">
        <v>2252</v>
      </c>
      <c r="B593" s="116" t="s">
        <v>2253</v>
      </c>
      <c r="C593" s="117">
        <v>382</v>
      </c>
      <c r="D593" s="91" t="s">
        <v>2256</v>
      </c>
      <c r="E593" s="91" t="s">
        <v>19</v>
      </c>
      <c r="F593" s="121">
        <v>41521</v>
      </c>
      <c r="G593" s="118">
        <v>91.46</v>
      </c>
      <c r="H593" s="72"/>
      <c r="I593" s="72"/>
      <c r="J593" s="72"/>
      <c r="K593" s="72"/>
      <c r="L593" s="72"/>
      <c r="M593" s="72"/>
      <c r="N593" s="72"/>
      <c r="O593" s="72"/>
      <c r="P593" s="72"/>
      <c r="Q593" s="63">
        <f t="shared" si="46"/>
        <v>50.43</v>
      </c>
      <c r="R593" s="72">
        <f t="shared" si="47"/>
        <v>0</v>
      </c>
      <c r="S593" s="63">
        <f t="shared" si="48"/>
        <v>50.43</v>
      </c>
    </row>
    <row r="594" spans="1:19" x14ac:dyDescent="0.25">
      <c r="A594" s="116" t="s">
        <v>2257</v>
      </c>
      <c r="B594" s="116" t="s">
        <v>351</v>
      </c>
      <c r="C594" s="117">
        <v>383</v>
      </c>
      <c r="D594" s="91" t="s">
        <v>2258</v>
      </c>
      <c r="E594" s="91" t="s">
        <v>19</v>
      </c>
      <c r="F594" s="121">
        <v>41523</v>
      </c>
      <c r="G594" s="118">
        <f>354.77</f>
        <v>354.77</v>
      </c>
      <c r="H594" s="72"/>
      <c r="I594" s="120">
        <v>625</v>
      </c>
      <c r="J594" s="72"/>
      <c r="K594" s="72"/>
      <c r="L594" s="72"/>
      <c r="M594" s="72"/>
      <c r="N594" s="72"/>
      <c r="O594" s="72"/>
      <c r="P594" s="72"/>
      <c r="Q594" s="63">
        <f t="shared" si="46"/>
        <v>716.46</v>
      </c>
      <c r="R594" s="72">
        <f t="shared" si="47"/>
        <v>0</v>
      </c>
      <c r="S594" s="63">
        <f t="shared" si="48"/>
        <v>716.46</v>
      </c>
    </row>
    <row r="595" spans="1:19" x14ac:dyDescent="0.25">
      <c r="A595" s="116" t="s">
        <v>2259</v>
      </c>
      <c r="B595" s="116" t="s">
        <v>2260</v>
      </c>
      <c r="C595" s="117">
        <v>384</v>
      </c>
      <c r="D595" s="91" t="s">
        <v>2261</v>
      </c>
      <c r="E595" s="91" t="s">
        <v>19</v>
      </c>
      <c r="F595" s="121">
        <v>41572</v>
      </c>
      <c r="G595" s="118">
        <f>344.56</f>
        <v>344.56</v>
      </c>
      <c r="H595" s="72"/>
      <c r="I595" s="72"/>
      <c r="J595" s="72"/>
      <c r="K595" s="72"/>
      <c r="L595" s="72"/>
      <c r="M595" s="72"/>
      <c r="N595" s="72"/>
      <c r="O595" s="72"/>
      <c r="P595" s="72"/>
      <c r="Q595" s="63">
        <f t="shared" si="46"/>
        <v>354.77</v>
      </c>
      <c r="R595" s="72">
        <f t="shared" si="47"/>
        <v>0</v>
      </c>
      <c r="S595" s="63">
        <f t="shared" si="48"/>
        <v>354.77</v>
      </c>
    </row>
    <row r="596" spans="1:19" x14ac:dyDescent="0.25">
      <c r="A596" s="116" t="s">
        <v>2262</v>
      </c>
      <c r="B596" s="116" t="s">
        <v>2263</v>
      </c>
      <c r="C596" s="117">
        <v>385</v>
      </c>
      <c r="D596" s="91" t="s">
        <v>2264</v>
      </c>
      <c r="E596" s="91" t="s">
        <v>19</v>
      </c>
      <c r="F596" s="121">
        <v>41523</v>
      </c>
      <c r="G596" s="118">
        <v>5506.96</v>
      </c>
      <c r="H596" s="72"/>
      <c r="I596" s="72"/>
      <c r="J596" s="72"/>
      <c r="K596" s="72"/>
      <c r="L596" s="72"/>
      <c r="M596" s="123">
        <v>3700</v>
      </c>
      <c r="N596" s="72"/>
      <c r="O596" s="123">
        <v>14800</v>
      </c>
      <c r="P596" s="72"/>
      <c r="Q596" s="63">
        <f t="shared" si="46"/>
        <v>18844.560000000001</v>
      </c>
      <c r="R596" s="72">
        <f t="shared" si="47"/>
        <v>0</v>
      </c>
      <c r="S596" s="63">
        <f t="shared" si="48"/>
        <v>18844.560000000001</v>
      </c>
    </row>
    <row r="597" spans="1:19" x14ac:dyDescent="0.25">
      <c r="A597" s="116" t="s">
        <v>2265</v>
      </c>
      <c r="B597" s="116" t="s">
        <v>2266</v>
      </c>
      <c r="C597" s="117">
        <v>386</v>
      </c>
      <c r="D597" s="91" t="s">
        <v>2267</v>
      </c>
      <c r="E597" s="91" t="s">
        <v>19</v>
      </c>
      <c r="F597" s="121">
        <v>41611</v>
      </c>
      <c r="G597" s="118">
        <v>172.4</v>
      </c>
      <c r="H597" s="72"/>
      <c r="I597" s="72"/>
      <c r="J597" s="72"/>
      <c r="K597" s="72"/>
      <c r="L597" s="72"/>
      <c r="M597" s="72"/>
      <c r="N597" s="72"/>
      <c r="O597" s="72"/>
      <c r="P597" s="72"/>
      <c r="Q597" s="63">
        <f t="shared" si="46"/>
        <v>5506.96</v>
      </c>
      <c r="R597" s="72">
        <f t="shared" si="47"/>
        <v>0</v>
      </c>
      <c r="S597" s="63">
        <f t="shared" si="48"/>
        <v>5506.96</v>
      </c>
    </row>
    <row r="598" spans="1:19" x14ac:dyDescent="0.25">
      <c r="A598" s="116" t="s">
        <v>2268</v>
      </c>
      <c r="B598" s="116" t="s">
        <v>2269</v>
      </c>
      <c r="C598" s="117">
        <v>387</v>
      </c>
      <c r="D598" s="91" t="s">
        <v>2270</v>
      </c>
      <c r="E598" s="91" t="s">
        <v>19</v>
      </c>
      <c r="F598" s="121">
        <v>41611</v>
      </c>
      <c r="G598" s="77"/>
      <c r="H598" s="72"/>
      <c r="I598" s="72"/>
      <c r="J598" s="72"/>
      <c r="K598" s="72"/>
      <c r="L598" s="72"/>
      <c r="M598" s="72"/>
      <c r="N598" s="72"/>
      <c r="O598" s="72"/>
      <c r="P598" s="72"/>
      <c r="Q598" s="63">
        <f t="shared" si="46"/>
        <v>172.4</v>
      </c>
      <c r="R598" s="72">
        <f t="shared" si="47"/>
        <v>0</v>
      </c>
      <c r="S598" s="63">
        <f t="shared" si="48"/>
        <v>172.4</v>
      </c>
    </row>
    <row r="599" spans="1:19" x14ac:dyDescent="0.25">
      <c r="A599" s="116" t="s">
        <v>2271</v>
      </c>
      <c r="B599" s="116" t="s">
        <v>2272</v>
      </c>
      <c r="C599" s="117">
        <v>388</v>
      </c>
      <c r="D599" s="91" t="s">
        <v>2273</v>
      </c>
      <c r="E599" s="91" t="s">
        <v>19</v>
      </c>
      <c r="F599" s="121">
        <v>41688</v>
      </c>
      <c r="G599" s="118">
        <v>83.13</v>
      </c>
      <c r="H599" s="72"/>
      <c r="I599" s="72"/>
      <c r="J599" s="72"/>
      <c r="K599" s="72"/>
      <c r="L599" s="72"/>
      <c r="M599" s="72"/>
      <c r="N599" s="72"/>
      <c r="O599" s="72"/>
      <c r="P599" s="72"/>
      <c r="Q599" s="63">
        <f t="shared" si="47"/>
        <v>83.13</v>
      </c>
      <c r="R599" s="72">
        <f t="shared" si="47"/>
        <v>0</v>
      </c>
      <c r="S599" s="63">
        <f t="shared" si="48"/>
        <v>83.13</v>
      </c>
    </row>
    <row r="600" spans="1:19" x14ac:dyDescent="0.25">
      <c r="A600" s="116" t="s">
        <v>2271</v>
      </c>
      <c r="B600" s="116" t="s">
        <v>2272</v>
      </c>
      <c r="C600" s="117">
        <v>388</v>
      </c>
      <c r="D600" s="91" t="s">
        <v>2274</v>
      </c>
      <c r="E600" s="91" t="s">
        <v>19</v>
      </c>
      <c r="F600" s="121">
        <v>41688</v>
      </c>
      <c r="G600" s="118">
        <v>205.14</v>
      </c>
      <c r="H600" s="72"/>
      <c r="I600" s="72"/>
      <c r="J600" s="72"/>
      <c r="K600" s="72"/>
      <c r="L600" s="72"/>
      <c r="M600" s="72"/>
      <c r="N600" s="72"/>
      <c r="O600" s="72"/>
      <c r="P600" s="72"/>
      <c r="Q600" s="63">
        <f t="shared" si="47"/>
        <v>205.14</v>
      </c>
      <c r="R600" s="72">
        <f t="shared" si="47"/>
        <v>0</v>
      </c>
      <c r="S600" s="63">
        <f t="shared" si="48"/>
        <v>205.14</v>
      </c>
    </row>
    <row r="601" spans="1:19" x14ac:dyDescent="0.25">
      <c r="A601" s="116" t="s">
        <v>2275</v>
      </c>
      <c r="B601" s="116" t="s">
        <v>2276</v>
      </c>
      <c r="C601" s="117">
        <v>389</v>
      </c>
      <c r="D601" s="91" t="s">
        <v>2277</v>
      </c>
      <c r="E601" s="91" t="s">
        <v>19</v>
      </c>
      <c r="F601" s="121">
        <v>41688</v>
      </c>
      <c r="G601" s="118">
        <v>148.21</v>
      </c>
      <c r="H601" s="72"/>
      <c r="I601" s="72"/>
      <c r="J601" s="72"/>
      <c r="K601" s="72"/>
      <c r="L601" s="72"/>
      <c r="M601" s="72"/>
      <c r="N601" s="72"/>
      <c r="O601" s="72"/>
      <c r="P601" s="72"/>
      <c r="Q601" s="63">
        <f t="shared" si="47"/>
        <v>148.21</v>
      </c>
      <c r="R601" s="72">
        <f t="shared" si="47"/>
        <v>0</v>
      </c>
      <c r="S601" s="63">
        <f t="shared" si="48"/>
        <v>148.21</v>
      </c>
    </row>
    <row r="602" spans="1:19" x14ac:dyDescent="0.25">
      <c r="A602" s="116" t="s">
        <v>2278</v>
      </c>
      <c r="B602" s="116" t="s">
        <v>2279</v>
      </c>
      <c r="C602" s="117">
        <v>390</v>
      </c>
      <c r="D602" s="91" t="s">
        <v>2280</v>
      </c>
      <c r="E602" s="91" t="s">
        <v>19</v>
      </c>
      <c r="F602" s="121">
        <v>41709</v>
      </c>
      <c r="G602" s="118">
        <v>962.11</v>
      </c>
      <c r="H602" s="72"/>
      <c r="I602" s="72"/>
      <c r="J602" s="72"/>
      <c r="K602" s="72"/>
      <c r="L602" s="72"/>
      <c r="M602" s="72"/>
      <c r="N602" s="72"/>
      <c r="O602" s="72"/>
      <c r="P602" s="72"/>
      <c r="Q602" s="63">
        <f t="shared" si="47"/>
        <v>962.11</v>
      </c>
      <c r="R602" s="72">
        <f t="shared" si="47"/>
        <v>0</v>
      </c>
      <c r="S602" s="63">
        <f t="shared" si="48"/>
        <v>962.11</v>
      </c>
    </row>
    <row r="603" spans="1:19" x14ac:dyDescent="0.25">
      <c r="A603" s="116" t="s">
        <v>2281</v>
      </c>
      <c r="B603" s="116" t="s">
        <v>2282</v>
      </c>
      <c r="C603" s="117">
        <v>391</v>
      </c>
      <c r="D603" s="91" t="s">
        <v>2283</v>
      </c>
      <c r="E603" s="91" t="s">
        <v>19</v>
      </c>
      <c r="F603" s="121">
        <v>41593</v>
      </c>
      <c r="G603" s="118">
        <f>333.94</f>
        <v>333.94</v>
      </c>
      <c r="H603" s="72"/>
      <c r="I603" s="72"/>
      <c r="J603" s="72"/>
      <c r="K603" s="72"/>
      <c r="L603" s="72"/>
      <c r="M603" s="72"/>
      <c r="N603" s="72"/>
      <c r="O603" s="72"/>
      <c r="P603" s="72"/>
      <c r="Q603" s="63">
        <f t="shared" ref="Q603:Q612" si="49">+G603+I603+K603+M603+O603</f>
        <v>333.94</v>
      </c>
      <c r="R603" s="72">
        <f t="shared" ref="R603:R612" si="50">+H603+J603+L603+N603+P603</f>
        <v>0</v>
      </c>
      <c r="S603" s="63">
        <f t="shared" ref="S603:S612" si="51">+Q603+R603</f>
        <v>333.94</v>
      </c>
    </row>
    <row r="604" spans="1:19" x14ac:dyDescent="0.25">
      <c r="A604" s="116" t="s">
        <v>2284</v>
      </c>
      <c r="B604" s="116" t="s">
        <v>2285</v>
      </c>
      <c r="C604" s="117">
        <v>392</v>
      </c>
      <c r="D604" s="91" t="s">
        <v>2286</v>
      </c>
      <c r="E604" s="91" t="s">
        <v>19</v>
      </c>
      <c r="F604" s="121">
        <v>41627</v>
      </c>
      <c r="G604" s="118">
        <f>175.7</f>
        <v>175.7</v>
      </c>
      <c r="H604" s="72"/>
      <c r="I604" s="72"/>
      <c r="J604" s="72"/>
      <c r="K604" s="72"/>
      <c r="L604" s="72"/>
      <c r="M604" s="72"/>
      <c r="N604" s="72"/>
      <c r="O604" s="72"/>
      <c r="P604" s="72"/>
      <c r="Q604" s="63">
        <f t="shared" si="49"/>
        <v>175.7</v>
      </c>
      <c r="R604" s="72">
        <f t="shared" si="50"/>
        <v>0</v>
      </c>
      <c r="S604" s="63">
        <f t="shared" si="51"/>
        <v>175.7</v>
      </c>
    </row>
    <row r="605" spans="1:19" x14ac:dyDescent="0.25">
      <c r="A605" s="116" t="s">
        <v>2287</v>
      </c>
      <c r="B605" s="116" t="s">
        <v>2288</v>
      </c>
      <c r="C605" s="117">
        <v>393</v>
      </c>
      <c r="D605" s="91" t="s">
        <v>2289</v>
      </c>
      <c r="E605" s="91" t="s">
        <v>19</v>
      </c>
      <c r="F605" s="121">
        <v>41709</v>
      </c>
      <c r="G605" s="77">
        <v>201.78</v>
      </c>
      <c r="H605" s="72"/>
      <c r="I605" s="72"/>
      <c r="J605" s="72"/>
      <c r="K605" s="72"/>
      <c r="L605" s="72"/>
      <c r="M605" s="72"/>
      <c r="N605" s="72"/>
      <c r="O605" s="72"/>
      <c r="P605" s="72"/>
      <c r="Q605" s="63">
        <f t="shared" si="49"/>
        <v>201.78</v>
      </c>
      <c r="R605" s="72">
        <f t="shared" si="50"/>
        <v>0</v>
      </c>
      <c r="S605" s="63">
        <f t="shared" si="51"/>
        <v>201.78</v>
      </c>
    </row>
    <row r="606" spans="1:19" x14ac:dyDescent="0.25">
      <c r="A606" s="116" t="s">
        <v>2290</v>
      </c>
      <c r="B606" s="116" t="s">
        <v>2291</v>
      </c>
      <c r="C606" s="117">
        <v>394</v>
      </c>
      <c r="D606" s="91" t="s">
        <v>2292</v>
      </c>
      <c r="E606" s="91" t="s">
        <v>19</v>
      </c>
      <c r="F606" s="121">
        <v>41627</v>
      </c>
      <c r="G606" s="118">
        <f>446.63</f>
        <v>446.63</v>
      </c>
      <c r="H606" s="72"/>
      <c r="I606" s="72"/>
      <c r="J606" s="72"/>
      <c r="K606" s="72"/>
      <c r="L606" s="72"/>
      <c r="M606" s="72"/>
      <c r="N606" s="72"/>
      <c r="O606" s="72"/>
      <c r="P606" s="72"/>
      <c r="Q606" s="63">
        <f t="shared" si="49"/>
        <v>446.63</v>
      </c>
      <c r="R606" s="72">
        <f t="shared" si="50"/>
        <v>0</v>
      </c>
      <c r="S606" s="63">
        <f t="shared" si="51"/>
        <v>446.63</v>
      </c>
    </row>
    <row r="607" spans="1:19" x14ac:dyDescent="0.25">
      <c r="A607" s="116" t="s">
        <v>2290</v>
      </c>
      <c r="B607" s="116" t="s">
        <v>2291</v>
      </c>
      <c r="C607" s="117">
        <v>394</v>
      </c>
      <c r="D607" s="91" t="s">
        <v>2293</v>
      </c>
      <c r="E607" s="91" t="s">
        <v>19</v>
      </c>
      <c r="F607" s="121">
        <v>41627</v>
      </c>
      <c r="G607" s="118">
        <f>236</f>
        <v>236</v>
      </c>
      <c r="H607" s="72"/>
      <c r="I607" s="72"/>
      <c r="J607" s="72"/>
      <c r="K607" s="72"/>
      <c r="L607" s="72"/>
      <c r="M607" s="72"/>
      <c r="N607" s="72"/>
      <c r="O607" s="72"/>
      <c r="P607" s="72"/>
      <c r="Q607" s="63">
        <f t="shared" si="49"/>
        <v>236</v>
      </c>
      <c r="R607" s="72">
        <f t="shared" si="50"/>
        <v>0</v>
      </c>
      <c r="S607" s="63">
        <f t="shared" si="51"/>
        <v>236</v>
      </c>
    </row>
    <row r="608" spans="1:19" x14ac:dyDescent="0.25">
      <c r="A608" s="116" t="s">
        <v>2290</v>
      </c>
      <c r="B608" s="116" t="s">
        <v>2291</v>
      </c>
      <c r="C608" s="117">
        <v>394</v>
      </c>
      <c r="D608" s="91" t="s">
        <v>2294</v>
      </c>
      <c r="E608" s="91" t="s">
        <v>19</v>
      </c>
      <c r="F608" s="121">
        <v>41627</v>
      </c>
      <c r="G608" s="118">
        <f>94.87</f>
        <v>94.87</v>
      </c>
      <c r="H608" s="72"/>
      <c r="I608" s="72"/>
      <c r="J608" s="72"/>
      <c r="K608" s="72"/>
      <c r="L608" s="72"/>
      <c r="M608" s="72"/>
      <c r="N608" s="72"/>
      <c r="O608" s="72"/>
      <c r="P608" s="72"/>
      <c r="Q608" s="63">
        <f t="shared" si="49"/>
        <v>94.87</v>
      </c>
      <c r="R608" s="72">
        <f t="shared" si="50"/>
        <v>0</v>
      </c>
      <c r="S608" s="63">
        <f t="shared" si="51"/>
        <v>94.87</v>
      </c>
    </row>
    <row r="609" spans="1:19" x14ac:dyDescent="0.25">
      <c r="A609" s="116" t="s">
        <v>2290</v>
      </c>
      <c r="B609" s="116" t="s">
        <v>2291</v>
      </c>
      <c r="C609" s="117">
        <v>394</v>
      </c>
      <c r="D609" s="91" t="s">
        <v>2295</v>
      </c>
      <c r="E609" s="91" t="s">
        <v>19</v>
      </c>
      <c r="F609" s="121">
        <v>41627</v>
      </c>
      <c r="G609" s="77">
        <v>86.91</v>
      </c>
      <c r="H609" s="72"/>
      <c r="I609" s="72"/>
      <c r="J609" s="72"/>
      <c r="K609" s="72"/>
      <c r="L609" s="72"/>
      <c r="M609" s="72"/>
      <c r="N609" s="72"/>
      <c r="O609" s="72"/>
      <c r="P609" s="72"/>
      <c r="Q609" s="63">
        <f t="shared" si="49"/>
        <v>86.91</v>
      </c>
      <c r="R609" s="72">
        <f t="shared" si="50"/>
        <v>0</v>
      </c>
      <c r="S609" s="63">
        <f t="shared" si="51"/>
        <v>86.91</v>
      </c>
    </row>
    <row r="610" spans="1:19" x14ac:dyDescent="0.25">
      <c r="A610" s="116" t="s">
        <v>2296</v>
      </c>
      <c r="B610" s="116" t="s">
        <v>2297</v>
      </c>
      <c r="C610" s="117">
        <v>395</v>
      </c>
      <c r="D610" s="91" t="s">
        <v>2298</v>
      </c>
      <c r="E610" s="91" t="s">
        <v>19</v>
      </c>
      <c r="F610" s="121">
        <v>41627</v>
      </c>
      <c r="G610" s="118">
        <f>56.99</f>
        <v>56.99</v>
      </c>
      <c r="H610" s="72"/>
      <c r="I610" s="72"/>
      <c r="J610" s="72"/>
      <c r="K610" s="72"/>
      <c r="L610" s="72"/>
      <c r="M610" s="72"/>
      <c r="N610" s="72"/>
      <c r="O610" s="72"/>
      <c r="P610" s="72"/>
      <c r="Q610" s="63">
        <f t="shared" si="49"/>
        <v>56.99</v>
      </c>
      <c r="R610" s="72">
        <f t="shared" si="50"/>
        <v>0</v>
      </c>
      <c r="S610" s="63">
        <f t="shared" si="51"/>
        <v>56.99</v>
      </c>
    </row>
    <row r="611" spans="1:19" x14ac:dyDescent="0.25">
      <c r="A611" s="116" t="s">
        <v>2299</v>
      </c>
      <c r="B611" s="116" t="s">
        <v>853</v>
      </c>
      <c r="C611" s="117">
        <v>396</v>
      </c>
      <c r="D611" s="91" t="s">
        <v>2300</v>
      </c>
      <c r="E611" s="91" t="s">
        <v>19</v>
      </c>
      <c r="F611" s="121">
        <v>41593</v>
      </c>
      <c r="G611" s="118">
        <f>124.9</f>
        <v>124.9</v>
      </c>
      <c r="H611" s="72"/>
      <c r="I611" s="72"/>
      <c r="J611" s="72"/>
      <c r="K611" s="72"/>
      <c r="L611" s="72"/>
      <c r="M611" s="72"/>
      <c r="N611" s="72"/>
      <c r="O611" s="72"/>
      <c r="P611" s="72"/>
      <c r="Q611" s="63">
        <f t="shared" si="49"/>
        <v>124.9</v>
      </c>
      <c r="R611" s="72">
        <f t="shared" si="50"/>
        <v>0</v>
      </c>
      <c r="S611" s="63">
        <f t="shared" si="51"/>
        <v>124.9</v>
      </c>
    </row>
    <row r="612" spans="1:19" x14ac:dyDescent="0.25">
      <c r="A612" s="116" t="s">
        <v>2299</v>
      </c>
      <c r="B612" s="116" t="s">
        <v>853</v>
      </c>
      <c r="C612" s="117">
        <v>396</v>
      </c>
      <c r="D612" s="91" t="s">
        <v>2301</v>
      </c>
      <c r="E612" s="91" t="s">
        <v>19</v>
      </c>
      <c r="F612" s="121">
        <v>41593</v>
      </c>
      <c r="G612" s="118">
        <f>74.34</f>
        <v>74.34</v>
      </c>
      <c r="H612" s="72"/>
      <c r="I612" s="72"/>
      <c r="J612" s="72"/>
      <c r="K612" s="72"/>
      <c r="L612" s="72"/>
      <c r="M612" s="72"/>
      <c r="N612" s="72"/>
      <c r="O612" s="72"/>
      <c r="P612" s="72"/>
      <c r="Q612" s="63">
        <f t="shared" si="49"/>
        <v>74.34</v>
      </c>
      <c r="R612" s="72">
        <f t="shared" si="50"/>
        <v>0</v>
      </c>
      <c r="S612" s="63">
        <f t="shared" si="51"/>
        <v>74.34</v>
      </c>
    </row>
    <row r="613" spans="1:19" x14ac:dyDescent="0.25">
      <c r="A613" s="116" t="s">
        <v>2302</v>
      </c>
      <c r="B613" s="116" t="s">
        <v>2303</v>
      </c>
      <c r="C613" s="117">
        <v>397</v>
      </c>
      <c r="D613" s="91" t="s">
        <v>2304</v>
      </c>
      <c r="E613" s="91" t="s">
        <v>19</v>
      </c>
      <c r="F613" s="121">
        <v>41535</v>
      </c>
      <c r="G613" s="118">
        <v>264.14999999999998</v>
      </c>
      <c r="H613" s="72"/>
      <c r="I613" s="72"/>
      <c r="J613" s="72"/>
      <c r="K613" s="72"/>
      <c r="L613" s="72"/>
      <c r="M613" s="72"/>
      <c r="N613" s="72"/>
      <c r="O613" s="72"/>
      <c r="P613" s="72"/>
      <c r="Q613" s="63">
        <f t="shared" ref="Q613:Q618" si="52">+G612+I613+K613+M613+O613</f>
        <v>74.34</v>
      </c>
      <c r="R613" s="72">
        <f t="shared" si="47"/>
        <v>0</v>
      </c>
      <c r="S613" s="63">
        <f t="shared" si="48"/>
        <v>74.34</v>
      </c>
    </row>
    <row r="614" spans="1:19" x14ac:dyDescent="0.25">
      <c r="A614" s="116" t="s">
        <v>2302</v>
      </c>
      <c r="B614" s="116" t="s">
        <v>2303</v>
      </c>
      <c r="C614" s="117">
        <v>397</v>
      </c>
      <c r="D614" s="91" t="s">
        <v>2305</v>
      </c>
      <c r="E614" s="91" t="s">
        <v>19</v>
      </c>
      <c r="F614" s="121">
        <v>41535</v>
      </c>
      <c r="G614" s="118">
        <f>99.67</f>
        <v>99.67</v>
      </c>
      <c r="H614" s="72"/>
      <c r="I614" s="72"/>
      <c r="J614" s="72"/>
      <c r="K614" s="72"/>
      <c r="L614" s="72"/>
      <c r="M614" s="72"/>
      <c r="N614" s="72"/>
      <c r="O614" s="72"/>
      <c r="P614" s="72"/>
      <c r="Q614" s="63">
        <f t="shared" si="52"/>
        <v>264.14999999999998</v>
      </c>
      <c r="R614" s="72">
        <f t="shared" si="47"/>
        <v>0</v>
      </c>
      <c r="S614" s="63">
        <f t="shared" si="48"/>
        <v>264.14999999999998</v>
      </c>
    </row>
    <row r="615" spans="1:19" x14ac:dyDescent="0.25">
      <c r="A615" s="116" t="s">
        <v>2306</v>
      </c>
      <c r="B615" s="116" t="s">
        <v>2307</v>
      </c>
      <c r="C615" s="117">
        <v>398</v>
      </c>
      <c r="D615" s="91" t="s">
        <v>2308</v>
      </c>
      <c r="E615" s="91" t="s">
        <v>19</v>
      </c>
      <c r="F615" s="121">
        <v>41535</v>
      </c>
      <c r="G615" s="118">
        <v>86.61</v>
      </c>
      <c r="H615" s="72"/>
      <c r="I615" s="72"/>
      <c r="J615" s="72"/>
      <c r="K615" s="72"/>
      <c r="L615" s="72"/>
      <c r="M615" s="72"/>
      <c r="N615" s="72"/>
      <c r="O615" s="72"/>
      <c r="P615" s="72"/>
      <c r="Q615" s="63">
        <f t="shared" si="52"/>
        <v>99.67</v>
      </c>
      <c r="R615" s="72">
        <f t="shared" si="47"/>
        <v>0</v>
      </c>
      <c r="S615" s="63">
        <f t="shared" si="48"/>
        <v>99.67</v>
      </c>
    </row>
    <row r="616" spans="1:19" x14ac:dyDescent="0.25">
      <c r="A616" s="116" t="s">
        <v>2309</v>
      </c>
      <c r="B616" s="116" t="s">
        <v>2310</v>
      </c>
      <c r="C616" s="117">
        <v>399</v>
      </c>
      <c r="D616" s="91" t="s">
        <v>2311</v>
      </c>
      <c r="E616" s="91" t="s">
        <v>19</v>
      </c>
      <c r="F616" s="121">
        <v>41536</v>
      </c>
      <c r="G616" s="118">
        <f>249.63</f>
        <v>249.63</v>
      </c>
      <c r="H616" s="72"/>
      <c r="I616" s="72"/>
      <c r="J616" s="72"/>
      <c r="K616" s="72"/>
      <c r="L616" s="72"/>
      <c r="M616" s="72"/>
      <c r="N616" s="72"/>
      <c r="O616" s="72"/>
      <c r="P616" s="72"/>
      <c r="Q616" s="63">
        <f t="shared" si="52"/>
        <v>86.61</v>
      </c>
      <c r="R616" s="72">
        <f t="shared" si="47"/>
        <v>0</v>
      </c>
      <c r="S616" s="63">
        <f t="shared" si="48"/>
        <v>86.61</v>
      </c>
    </row>
    <row r="617" spans="1:19" x14ac:dyDescent="0.25">
      <c r="A617" s="116" t="s">
        <v>2312</v>
      </c>
      <c r="B617" s="116" t="s">
        <v>2313</v>
      </c>
      <c r="C617" s="117">
        <v>400</v>
      </c>
      <c r="D617" s="91" t="s">
        <v>2314</v>
      </c>
      <c r="E617" s="91" t="s">
        <v>19</v>
      </c>
      <c r="F617" s="121">
        <v>41547</v>
      </c>
      <c r="G617" s="118">
        <f>238+238+238+848+5819.6</f>
        <v>7381.6</v>
      </c>
      <c r="H617" s="72"/>
      <c r="I617" s="72"/>
      <c r="J617" s="72"/>
      <c r="K617" s="72"/>
      <c r="L617" s="72"/>
      <c r="M617" s="123">
        <v>3700</v>
      </c>
      <c r="N617" s="72"/>
      <c r="O617" s="123">
        <v>14800</v>
      </c>
      <c r="P617" s="72"/>
      <c r="Q617" s="63">
        <f t="shared" si="52"/>
        <v>18749.63</v>
      </c>
      <c r="R617" s="72">
        <f t="shared" si="47"/>
        <v>0</v>
      </c>
      <c r="S617" s="63">
        <f t="shared" si="48"/>
        <v>18749.63</v>
      </c>
    </row>
    <row r="618" spans="1:19" x14ac:dyDescent="0.25">
      <c r="A618" s="116" t="s">
        <v>2315</v>
      </c>
      <c r="B618" s="116" t="s">
        <v>2316</v>
      </c>
      <c r="C618" s="117">
        <v>401</v>
      </c>
      <c r="D618" s="91" t="s">
        <v>2317</v>
      </c>
      <c r="E618" s="91" t="s">
        <v>19</v>
      </c>
      <c r="F618" s="121">
        <v>41558</v>
      </c>
      <c r="G618" s="77">
        <f>177.63</f>
        <v>177.63</v>
      </c>
      <c r="H618" s="72"/>
      <c r="I618" s="72"/>
      <c r="J618" s="72"/>
      <c r="K618" s="72"/>
      <c r="L618" s="72"/>
      <c r="M618" s="72"/>
      <c r="N618" s="72"/>
      <c r="O618" s="72"/>
      <c r="P618" s="72"/>
      <c r="Q618" s="63">
        <f t="shared" si="52"/>
        <v>7381.6</v>
      </c>
      <c r="R618" s="72">
        <f t="shared" si="47"/>
        <v>0</v>
      </c>
      <c r="S618" s="63">
        <f t="shared" si="48"/>
        <v>7381.6</v>
      </c>
    </row>
    <row r="619" spans="1:19" x14ac:dyDescent="0.25">
      <c r="A619" s="116" t="s">
        <v>2315</v>
      </c>
      <c r="B619" s="116" t="s">
        <v>2316</v>
      </c>
      <c r="C619" s="117">
        <v>401</v>
      </c>
      <c r="D619" s="91" t="s">
        <v>2318</v>
      </c>
      <c r="E619" s="91" t="s">
        <v>19</v>
      </c>
      <c r="F619" s="121">
        <v>41558</v>
      </c>
      <c r="G619" s="118">
        <f>140.74</f>
        <v>140.74</v>
      </c>
      <c r="H619" s="72"/>
      <c r="I619" s="72"/>
      <c r="J619" s="72"/>
      <c r="K619" s="72"/>
      <c r="L619" s="72"/>
      <c r="M619" s="72"/>
      <c r="N619" s="72"/>
      <c r="O619" s="72"/>
      <c r="P619" s="72"/>
      <c r="Q619" s="63">
        <f t="shared" si="47"/>
        <v>140.74</v>
      </c>
      <c r="R619" s="72">
        <f t="shared" si="47"/>
        <v>0</v>
      </c>
      <c r="S619" s="63">
        <f t="shared" si="48"/>
        <v>140.74</v>
      </c>
    </row>
    <row r="620" spans="1:19" x14ac:dyDescent="0.25">
      <c r="A620" s="116" t="s">
        <v>2319</v>
      </c>
      <c r="B620" s="116" t="s">
        <v>2320</v>
      </c>
      <c r="C620" s="117">
        <v>402</v>
      </c>
      <c r="D620" s="91" t="s">
        <v>2321</v>
      </c>
      <c r="E620" s="91" t="s">
        <v>19</v>
      </c>
      <c r="F620" s="121">
        <v>41613</v>
      </c>
      <c r="G620" s="118">
        <f>68.9</f>
        <v>68.900000000000006</v>
      </c>
      <c r="H620" s="72"/>
      <c r="I620" s="72"/>
      <c r="J620" s="72"/>
      <c r="K620" s="72"/>
      <c r="L620" s="72"/>
      <c r="M620" s="72"/>
      <c r="N620" s="72"/>
      <c r="O620" s="72"/>
      <c r="P620" s="72"/>
      <c r="Q620" s="63">
        <f t="shared" si="47"/>
        <v>68.900000000000006</v>
      </c>
      <c r="R620" s="72">
        <f t="shared" si="47"/>
        <v>0</v>
      </c>
      <c r="S620" s="63">
        <f t="shared" si="48"/>
        <v>68.900000000000006</v>
      </c>
    </row>
    <row r="621" spans="1:19" x14ac:dyDescent="0.25">
      <c r="A621" s="116" t="s">
        <v>2322</v>
      </c>
      <c r="B621" s="116" t="s">
        <v>2323</v>
      </c>
      <c r="C621" s="117">
        <v>403</v>
      </c>
      <c r="D621" s="91" t="s">
        <v>2324</v>
      </c>
      <c r="E621" s="91" t="s">
        <v>19</v>
      </c>
      <c r="F621" s="121">
        <v>41580</v>
      </c>
      <c r="G621" s="118">
        <f>45.15+47.2+75.41+33.9+631.3+64.9+436.6+374+436.6+20.3</f>
        <v>2165.36</v>
      </c>
      <c r="H621" s="72"/>
      <c r="I621" s="120">
        <v>2250</v>
      </c>
      <c r="J621" s="72"/>
      <c r="K621" s="72"/>
      <c r="L621" s="72"/>
      <c r="M621" s="72"/>
      <c r="N621" s="72"/>
      <c r="O621" s="72"/>
      <c r="P621" s="72"/>
      <c r="Q621" s="63">
        <f t="shared" si="47"/>
        <v>4415.3600000000006</v>
      </c>
      <c r="R621" s="72">
        <f t="shared" si="47"/>
        <v>0</v>
      </c>
      <c r="S621" s="63">
        <f t="shared" si="48"/>
        <v>4415.3600000000006</v>
      </c>
    </row>
    <row r="622" spans="1:19" x14ac:dyDescent="0.25">
      <c r="A622" s="116" t="s">
        <v>2325</v>
      </c>
      <c r="B622" s="116" t="s">
        <v>2326</v>
      </c>
      <c r="C622" s="117">
        <v>404</v>
      </c>
      <c r="D622" s="91" t="s">
        <v>2327</v>
      </c>
      <c r="E622" s="91" t="s">
        <v>19</v>
      </c>
      <c r="F622" s="121">
        <v>41717</v>
      </c>
      <c r="G622" s="118">
        <f>315.7</f>
        <v>315.7</v>
      </c>
      <c r="H622" s="72"/>
      <c r="I622" s="72"/>
      <c r="J622" s="72"/>
      <c r="K622" s="72"/>
      <c r="L622" s="72"/>
      <c r="M622" s="72"/>
      <c r="N622" s="72"/>
      <c r="O622" s="72"/>
      <c r="P622" s="72"/>
      <c r="Q622" s="63">
        <f t="shared" si="47"/>
        <v>315.7</v>
      </c>
      <c r="R622" s="72">
        <f t="shared" si="47"/>
        <v>0</v>
      </c>
      <c r="S622" s="63">
        <f t="shared" si="48"/>
        <v>315.7</v>
      </c>
    </row>
    <row r="623" spans="1:19" x14ac:dyDescent="0.25">
      <c r="A623" s="116" t="s">
        <v>2325</v>
      </c>
      <c r="B623" s="116" t="s">
        <v>2326</v>
      </c>
      <c r="C623" s="117">
        <v>404</v>
      </c>
      <c r="D623" s="91" t="s">
        <v>2328</v>
      </c>
      <c r="E623" s="91" t="s">
        <v>19</v>
      </c>
      <c r="F623" s="121">
        <v>41717</v>
      </c>
      <c r="G623" s="118">
        <v>55.3</v>
      </c>
      <c r="H623" s="72"/>
      <c r="I623" s="72"/>
      <c r="J623" s="72"/>
      <c r="K623" s="72"/>
      <c r="L623" s="72"/>
      <c r="M623" s="72"/>
      <c r="N623" s="72"/>
      <c r="O623" s="72"/>
      <c r="P623" s="72"/>
      <c r="Q623" s="63">
        <f t="shared" si="47"/>
        <v>55.3</v>
      </c>
      <c r="R623" s="72">
        <f t="shared" si="47"/>
        <v>0</v>
      </c>
      <c r="S623" s="63">
        <f t="shared" si="48"/>
        <v>55.3</v>
      </c>
    </row>
    <row r="624" spans="1:19" x14ac:dyDescent="0.25">
      <c r="A624" s="116" t="s">
        <v>2329</v>
      </c>
      <c r="B624" s="116" t="s">
        <v>2330</v>
      </c>
      <c r="C624" s="117">
        <v>405</v>
      </c>
      <c r="D624" s="91" t="s">
        <v>2331</v>
      </c>
      <c r="E624" s="91" t="s">
        <v>19</v>
      </c>
      <c r="F624" s="121">
        <v>41717</v>
      </c>
      <c r="G624" s="118">
        <f>179.2</f>
        <v>179.2</v>
      </c>
      <c r="H624" s="72"/>
      <c r="I624" s="72"/>
      <c r="J624" s="72"/>
      <c r="K624" s="72"/>
      <c r="L624" s="72"/>
      <c r="M624" s="72"/>
      <c r="N624" s="72"/>
      <c r="O624" s="72"/>
      <c r="P624" s="72"/>
      <c r="Q624" s="63">
        <f t="shared" si="47"/>
        <v>179.2</v>
      </c>
      <c r="R624" s="72">
        <f t="shared" si="47"/>
        <v>0</v>
      </c>
      <c r="S624" s="63">
        <f t="shared" si="48"/>
        <v>179.2</v>
      </c>
    </row>
    <row r="625" spans="1:19" x14ac:dyDescent="0.25">
      <c r="A625" s="116" t="s">
        <v>2329</v>
      </c>
      <c r="B625" s="116" t="s">
        <v>2330</v>
      </c>
      <c r="C625" s="117">
        <v>405</v>
      </c>
      <c r="D625" s="91" t="s">
        <v>2332</v>
      </c>
      <c r="E625" s="91" t="s">
        <v>19</v>
      </c>
      <c r="F625" s="121">
        <v>41717</v>
      </c>
      <c r="G625" s="118">
        <f>49.4</f>
        <v>49.4</v>
      </c>
      <c r="H625" s="72"/>
      <c r="I625" s="72"/>
      <c r="J625" s="72"/>
      <c r="K625" s="72"/>
      <c r="L625" s="72"/>
      <c r="M625" s="72"/>
      <c r="N625" s="72"/>
      <c r="O625" s="72"/>
      <c r="P625" s="72"/>
      <c r="Q625" s="63">
        <f t="shared" si="47"/>
        <v>49.4</v>
      </c>
      <c r="R625" s="72">
        <f t="shared" si="47"/>
        <v>0</v>
      </c>
      <c r="S625" s="63">
        <f t="shared" si="48"/>
        <v>49.4</v>
      </c>
    </row>
    <row r="626" spans="1:19" x14ac:dyDescent="0.25">
      <c r="A626" s="116" t="s">
        <v>2333</v>
      </c>
      <c r="B626" s="116" t="s">
        <v>2334</v>
      </c>
      <c r="C626" s="117">
        <v>406</v>
      </c>
      <c r="D626" s="91" t="s">
        <v>2335</v>
      </c>
      <c r="E626" s="91" t="s">
        <v>19</v>
      </c>
      <c r="F626" s="121">
        <v>41585</v>
      </c>
      <c r="G626" s="118">
        <f>41.3+143.81+143.81+143.81+238.27+148.95+148.95+54.32+343.71+41.3</f>
        <v>1448.23</v>
      </c>
      <c r="H626" s="72"/>
      <c r="I626" s="120">
        <v>1125</v>
      </c>
      <c r="J626" s="72"/>
      <c r="K626" s="72"/>
      <c r="L626" s="72"/>
      <c r="M626" s="72"/>
      <c r="N626" s="72"/>
      <c r="O626" s="72"/>
      <c r="P626" s="72"/>
      <c r="Q626" s="63">
        <f>+G626+I626+K626+M626+O626</f>
        <v>2573.23</v>
      </c>
      <c r="R626" s="72">
        <f>+H626+J626+L626+N626+P626</f>
        <v>0</v>
      </c>
      <c r="S626" s="63">
        <f>+Q626+R626</f>
        <v>2573.23</v>
      </c>
    </row>
    <row r="627" spans="1:19" x14ac:dyDescent="0.25">
      <c r="A627" s="116" t="s">
        <v>2336</v>
      </c>
      <c r="B627" s="116" t="s">
        <v>2337</v>
      </c>
      <c r="C627" s="117">
        <v>407</v>
      </c>
      <c r="D627" s="91" t="s">
        <v>2338</v>
      </c>
      <c r="E627" s="91" t="s">
        <v>19</v>
      </c>
      <c r="F627" s="121">
        <v>41565</v>
      </c>
      <c r="G627" s="118">
        <f>212.94+436.6+70.8+64.9</f>
        <v>785.2399999999999</v>
      </c>
      <c r="H627" s="72"/>
      <c r="I627" s="120">
        <v>1000</v>
      </c>
      <c r="J627" s="72"/>
      <c r="K627" s="72"/>
      <c r="L627" s="72"/>
      <c r="M627" s="72"/>
      <c r="N627" s="72"/>
      <c r="O627" s="72"/>
      <c r="P627" s="72"/>
      <c r="Q627" s="63">
        <f t="shared" ref="Q627:Q632" si="53">+G626+I627+K627+M627+O627</f>
        <v>2448.23</v>
      </c>
      <c r="R627" s="72">
        <f t="shared" si="47"/>
        <v>0</v>
      </c>
      <c r="S627" s="63">
        <f t="shared" si="48"/>
        <v>2448.23</v>
      </c>
    </row>
    <row r="628" spans="1:19" x14ac:dyDescent="0.25">
      <c r="A628" s="116" t="s">
        <v>2339</v>
      </c>
      <c r="B628" s="116" t="s">
        <v>361</v>
      </c>
      <c r="C628" s="117">
        <v>408</v>
      </c>
      <c r="D628" s="91" t="s">
        <v>2340</v>
      </c>
      <c r="E628" s="91" t="s">
        <v>2341</v>
      </c>
      <c r="F628" s="121">
        <v>41571</v>
      </c>
      <c r="G628" s="118">
        <f>2813.08</f>
        <v>2813.08</v>
      </c>
      <c r="H628" s="72"/>
      <c r="I628" s="73"/>
      <c r="J628" s="72"/>
      <c r="K628" s="72"/>
      <c r="L628" s="72"/>
      <c r="M628" s="72"/>
      <c r="N628" s="72"/>
      <c r="O628" s="72"/>
      <c r="P628" s="72"/>
      <c r="Q628" s="63">
        <f t="shared" si="53"/>
        <v>785.2399999999999</v>
      </c>
      <c r="R628" s="72">
        <f t="shared" si="47"/>
        <v>0</v>
      </c>
      <c r="S628" s="63">
        <f t="shared" si="48"/>
        <v>785.2399999999999</v>
      </c>
    </row>
    <row r="629" spans="1:19" x14ac:dyDescent="0.25">
      <c r="A629" s="116" t="s">
        <v>2342</v>
      </c>
      <c r="B629" s="116" t="s">
        <v>2343</v>
      </c>
      <c r="C629" s="117">
        <v>409</v>
      </c>
      <c r="D629" s="91" t="s">
        <v>2344</v>
      </c>
      <c r="E629" s="91" t="s">
        <v>19</v>
      </c>
      <c r="F629" s="121">
        <v>41561</v>
      </c>
      <c r="G629" s="118">
        <f>6953.09+410.57+378.99+140.56+75.84+41.3+241.9+1527.96+75.83+53.82+54.72+75.83+65.86+66.08+260+75.83+260+335+41.3+66.08</f>
        <v>11200.559999999998</v>
      </c>
      <c r="H629" s="72"/>
      <c r="I629" s="120">
        <v>3700</v>
      </c>
      <c r="J629" s="72"/>
      <c r="K629" s="72"/>
      <c r="L629" s="72"/>
      <c r="M629" s="72"/>
      <c r="N629" s="72"/>
      <c r="O629" s="72"/>
      <c r="P629" s="72"/>
      <c r="Q629" s="63">
        <f t="shared" si="53"/>
        <v>6513.08</v>
      </c>
      <c r="R629" s="72">
        <f t="shared" si="47"/>
        <v>0</v>
      </c>
      <c r="S629" s="63">
        <f t="shared" si="48"/>
        <v>6513.08</v>
      </c>
    </row>
    <row r="630" spans="1:19" x14ac:dyDescent="0.25">
      <c r="A630" s="116" t="s">
        <v>2345</v>
      </c>
      <c r="B630" s="116" t="s">
        <v>2346</v>
      </c>
      <c r="C630" s="117">
        <v>410</v>
      </c>
      <c r="D630" s="91" t="s">
        <v>2347</v>
      </c>
      <c r="E630" s="91" t="s">
        <v>19</v>
      </c>
      <c r="F630" s="121">
        <v>41562</v>
      </c>
      <c r="G630" s="118">
        <v>1426.88</v>
      </c>
      <c r="H630" s="72"/>
      <c r="I630" s="120">
        <v>350</v>
      </c>
      <c r="J630" s="72"/>
      <c r="K630" s="72"/>
      <c r="L630" s="72"/>
      <c r="M630" s="72"/>
      <c r="N630" s="72"/>
      <c r="O630" s="72"/>
      <c r="P630" s="72"/>
      <c r="Q630" s="63">
        <f t="shared" si="53"/>
        <v>11550.559999999998</v>
      </c>
      <c r="R630" s="72">
        <f t="shared" si="47"/>
        <v>0</v>
      </c>
      <c r="S630" s="63">
        <f t="shared" si="48"/>
        <v>11550.559999999998</v>
      </c>
    </row>
    <row r="631" spans="1:19" x14ac:dyDescent="0.25">
      <c r="A631" s="116" t="s">
        <v>2345</v>
      </c>
      <c r="B631" s="116" t="s">
        <v>2346</v>
      </c>
      <c r="C631" s="117">
        <v>410</v>
      </c>
      <c r="D631" s="91" t="s">
        <v>2348</v>
      </c>
      <c r="E631" s="91" t="s">
        <v>19</v>
      </c>
      <c r="F631" s="121">
        <v>41562</v>
      </c>
      <c r="G631" s="118">
        <f>238+43.1+94.4+69.9+47.2+96.9</f>
        <v>589.5</v>
      </c>
      <c r="H631" s="72"/>
      <c r="I631" s="73"/>
      <c r="J631" s="72"/>
      <c r="K631" s="72"/>
      <c r="L631" s="72"/>
      <c r="M631" s="72"/>
      <c r="N631" s="72"/>
      <c r="O631" s="72"/>
      <c r="P631" s="72"/>
      <c r="Q631" s="63">
        <f t="shared" si="53"/>
        <v>1426.88</v>
      </c>
      <c r="R631" s="72">
        <f t="shared" si="47"/>
        <v>0</v>
      </c>
      <c r="S631" s="63">
        <f t="shared" si="48"/>
        <v>1426.88</v>
      </c>
    </row>
    <row r="632" spans="1:19" x14ac:dyDescent="0.25">
      <c r="A632" s="116" t="s">
        <v>2345</v>
      </c>
      <c r="B632" s="116" t="s">
        <v>2346</v>
      </c>
      <c r="C632" s="117">
        <v>410</v>
      </c>
      <c r="D632" s="91" t="s">
        <v>2349</v>
      </c>
      <c r="E632" s="91" t="s">
        <v>19</v>
      </c>
      <c r="F632" s="121">
        <v>41562</v>
      </c>
      <c r="G632" s="118">
        <f>92.61</f>
        <v>92.61</v>
      </c>
      <c r="H632" s="72"/>
      <c r="I632" s="73"/>
      <c r="J632" s="72"/>
      <c r="K632" s="72"/>
      <c r="L632" s="72"/>
      <c r="M632" s="72"/>
      <c r="N632" s="72"/>
      <c r="O632" s="72"/>
      <c r="P632" s="72"/>
      <c r="Q632" s="63">
        <f t="shared" si="53"/>
        <v>589.5</v>
      </c>
      <c r="R632" s="72">
        <f t="shared" si="47"/>
        <v>0</v>
      </c>
      <c r="S632" s="63">
        <f t="shared" si="48"/>
        <v>589.5</v>
      </c>
    </row>
    <row r="633" spans="1:19" x14ac:dyDescent="0.25">
      <c r="A633" s="116" t="s">
        <v>2345</v>
      </c>
      <c r="B633" s="116" t="s">
        <v>2346</v>
      </c>
      <c r="C633" s="117">
        <v>410</v>
      </c>
      <c r="D633" s="91" t="s">
        <v>2350</v>
      </c>
      <c r="E633" s="91" t="s">
        <v>19</v>
      </c>
      <c r="F633" s="121">
        <v>41562</v>
      </c>
      <c r="G633" s="118">
        <f>92.61</f>
        <v>92.61</v>
      </c>
      <c r="H633" s="72"/>
      <c r="I633" s="73"/>
      <c r="J633" s="72"/>
      <c r="K633" s="72"/>
      <c r="L633" s="72"/>
      <c r="M633" s="72"/>
      <c r="N633" s="72"/>
      <c r="O633" s="72"/>
      <c r="P633" s="72"/>
      <c r="Q633" s="63">
        <f t="shared" si="47"/>
        <v>92.61</v>
      </c>
      <c r="R633" s="72">
        <f t="shared" si="47"/>
        <v>0</v>
      </c>
      <c r="S633" s="63">
        <f t="shared" si="48"/>
        <v>92.61</v>
      </c>
    </row>
    <row r="634" spans="1:19" x14ac:dyDescent="0.25">
      <c r="A634" s="116" t="s">
        <v>2351</v>
      </c>
      <c r="B634" s="116" t="s">
        <v>2352</v>
      </c>
      <c r="C634" s="117">
        <v>411</v>
      </c>
      <c r="D634" s="91" t="s">
        <v>2353</v>
      </c>
      <c r="E634" s="91" t="s">
        <v>19</v>
      </c>
      <c r="F634" s="121">
        <v>41571</v>
      </c>
      <c r="G634" s="118">
        <f>238+90.5+22.5+182.82+240+64.9+436.6+64.9+1116+141.6+39.6+47.2+436.6+34.4+138.3+436.6</f>
        <v>3730.52</v>
      </c>
      <c r="H634" s="72"/>
      <c r="I634" s="120">
        <f>750+1500</f>
        <v>2250</v>
      </c>
      <c r="J634" s="72"/>
      <c r="K634" s="72"/>
      <c r="L634" s="72"/>
      <c r="M634" s="72"/>
      <c r="N634" s="72"/>
      <c r="O634" s="72"/>
      <c r="P634" s="72"/>
      <c r="Q634" s="63">
        <f t="shared" si="47"/>
        <v>5980.52</v>
      </c>
      <c r="R634" s="72">
        <f t="shared" si="47"/>
        <v>0</v>
      </c>
      <c r="S634" s="63">
        <f t="shared" si="48"/>
        <v>5980.52</v>
      </c>
    </row>
    <row r="635" spans="1:19" x14ac:dyDescent="0.25">
      <c r="A635" s="116" t="s">
        <v>2354</v>
      </c>
      <c r="B635" s="116" t="s">
        <v>2355</v>
      </c>
      <c r="C635" s="117">
        <v>412</v>
      </c>
      <c r="D635" s="91" t="s">
        <v>2356</v>
      </c>
      <c r="E635" s="91" t="s">
        <v>19</v>
      </c>
      <c r="F635" s="121">
        <v>41563</v>
      </c>
      <c r="G635" s="118">
        <f>58.4+238+558+238+136.12+47.2+240.4</f>
        <v>1516.1200000000001</v>
      </c>
      <c r="H635" s="72"/>
      <c r="I635" s="72"/>
      <c r="J635" s="72"/>
      <c r="K635" s="72"/>
      <c r="L635" s="72"/>
      <c r="M635" s="72"/>
      <c r="N635" s="72"/>
      <c r="O635" s="72"/>
      <c r="P635" s="72"/>
      <c r="Q635" s="63">
        <f t="shared" si="47"/>
        <v>1516.1200000000001</v>
      </c>
      <c r="R635" s="72">
        <f t="shared" si="47"/>
        <v>0</v>
      </c>
      <c r="S635" s="63">
        <f t="shared" si="48"/>
        <v>1516.1200000000001</v>
      </c>
    </row>
    <row r="636" spans="1:19" x14ac:dyDescent="0.25">
      <c r="A636" s="116" t="s">
        <v>2357</v>
      </c>
      <c r="B636" s="116" t="s">
        <v>2358</v>
      </c>
      <c r="C636" s="117">
        <v>413</v>
      </c>
      <c r="D636" s="91" t="s">
        <v>2359</v>
      </c>
      <c r="E636" s="91" t="s">
        <v>19</v>
      </c>
      <c r="F636" s="121">
        <v>41565</v>
      </c>
      <c r="G636" s="118">
        <v>109.8</v>
      </c>
      <c r="H636" s="72"/>
      <c r="I636" s="72"/>
      <c r="J636" s="72"/>
      <c r="K636" s="72"/>
      <c r="L636" s="72"/>
      <c r="M636" s="72"/>
      <c r="N636" s="72"/>
      <c r="O636" s="72"/>
      <c r="P636" s="72"/>
      <c r="Q636" s="63">
        <f t="shared" si="47"/>
        <v>109.8</v>
      </c>
      <c r="R636" s="72">
        <f t="shared" si="47"/>
        <v>0</v>
      </c>
      <c r="S636" s="63">
        <f t="shared" si="48"/>
        <v>109.8</v>
      </c>
    </row>
    <row r="637" spans="1:19" x14ac:dyDescent="0.25">
      <c r="A637" s="116" t="s">
        <v>2360</v>
      </c>
      <c r="B637" s="116" t="s">
        <v>2361</v>
      </c>
      <c r="C637" s="117">
        <v>414</v>
      </c>
      <c r="D637" s="91" t="s">
        <v>2362</v>
      </c>
      <c r="E637" s="91" t="s">
        <v>19</v>
      </c>
      <c r="F637" s="121">
        <v>41565</v>
      </c>
      <c r="G637" s="118">
        <v>285.10000000000002</v>
      </c>
      <c r="H637" s="72"/>
      <c r="I637" s="72"/>
      <c r="J637" s="72"/>
      <c r="K637" s="72"/>
      <c r="L637" s="72"/>
      <c r="M637" s="72"/>
      <c r="N637" s="72"/>
      <c r="O637" s="72"/>
      <c r="P637" s="72"/>
      <c r="Q637" s="63">
        <f t="shared" si="47"/>
        <v>285.10000000000002</v>
      </c>
      <c r="R637" s="72">
        <f t="shared" si="47"/>
        <v>0</v>
      </c>
      <c r="S637" s="63">
        <f t="shared" si="48"/>
        <v>285.10000000000002</v>
      </c>
    </row>
    <row r="638" spans="1:19" x14ac:dyDescent="0.25">
      <c r="A638" s="116" t="s">
        <v>2363</v>
      </c>
      <c r="B638" s="116" t="s">
        <v>1852</v>
      </c>
      <c r="C638" s="117">
        <v>415</v>
      </c>
      <c r="D638" s="91" t="s">
        <v>2364</v>
      </c>
      <c r="E638" s="91" t="s">
        <v>19</v>
      </c>
      <c r="F638" s="121">
        <v>41565</v>
      </c>
      <c r="G638" s="118">
        <v>40</v>
      </c>
      <c r="H638" s="72"/>
      <c r="I638" s="72"/>
      <c r="J638" s="72"/>
      <c r="K638" s="72"/>
      <c r="L638" s="72"/>
      <c r="M638" s="72"/>
      <c r="N638" s="72"/>
      <c r="O638" s="72"/>
      <c r="P638" s="72"/>
      <c r="Q638" s="63">
        <f t="shared" si="47"/>
        <v>40</v>
      </c>
      <c r="R638" s="72">
        <f t="shared" si="47"/>
        <v>0</v>
      </c>
      <c r="S638" s="63">
        <f t="shared" si="48"/>
        <v>40</v>
      </c>
    </row>
    <row r="639" spans="1:19" x14ac:dyDescent="0.25">
      <c r="A639" s="116" t="s">
        <v>2365</v>
      </c>
      <c r="B639" s="116" t="s">
        <v>2366</v>
      </c>
      <c r="C639" s="117">
        <v>416</v>
      </c>
      <c r="D639" s="91" t="s">
        <v>2367</v>
      </c>
      <c r="E639" s="91" t="s">
        <v>19</v>
      </c>
      <c r="F639" s="121">
        <v>41565</v>
      </c>
      <c r="G639" s="118">
        <v>183.6</v>
      </c>
      <c r="H639" s="72"/>
      <c r="I639" s="72"/>
      <c r="J639" s="72"/>
      <c r="K639" s="72"/>
      <c r="L639" s="72"/>
      <c r="M639" s="72"/>
      <c r="N639" s="72"/>
      <c r="O639" s="72"/>
      <c r="P639" s="72"/>
      <c r="Q639" s="63">
        <f t="shared" si="47"/>
        <v>183.6</v>
      </c>
      <c r="R639" s="72">
        <f t="shared" si="47"/>
        <v>0</v>
      </c>
      <c r="S639" s="63">
        <f t="shared" si="48"/>
        <v>183.6</v>
      </c>
    </row>
    <row r="640" spans="1:19" x14ac:dyDescent="0.25">
      <c r="A640" s="116" t="s">
        <v>2368</v>
      </c>
      <c r="B640" s="116" t="s">
        <v>2369</v>
      </c>
      <c r="C640" s="117">
        <v>417</v>
      </c>
      <c r="D640" s="91" t="s">
        <v>2370</v>
      </c>
      <c r="E640" s="91" t="s">
        <v>19</v>
      </c>
      <c r="F640" s="121">
        <v>41717</v>
      </c>
      <c r="G640" s="118">
        <v>97.4</v>
      </c>
      <c r="H640" s="72"/>
      <c r="I640" s="72"/>
      <c r="J640" s="72"/>
      <c r="K640" s="72"/>
      <c r="L640" s="72"/>
      <c r="M640" s="72"/>
      <c r="N640" s="72"/>
      <c r="O640" s="72"/>
      <c r="P640" s="72"/>
      <c r="Q640" s="63">
        <f t="shared" si="47"/>
        <v>97.4</v>
      </c>
      <c r="R640" s="72">
        <f t="shared" si="47"/>
        <v>0</v>
      </c>
      <c r="S640" s="63">
        <f t="shared" si="48"/>
        <v>97.4</v>
      </c>
    </row>
    <row r="641" spans="1:19" x14ac:dyDescent="0.25">
      <c r="A641" s="116" t="s">
        <v>2371</v>
      </c>
      <c r="B641" s="116" t="s">
        <v>2372</v>
      </c>
      <c r="C641" s="117">
        <v>418</v>
      </c>
      <c r="D641" s="91" t="s">
        <v>2373</v>
      </c>
      <c r="E641" s="91" t="s">
        <v>19</v>
      </c>
      <c r="F641" s="90"/>
      <c r="G641" s="118"/>
      <c r="H641" s="72"/>
      <c r="I641" s="72"/>
      <c r="J641" s="72"/>
      <c r="K641" s="72"/>
      <c r="L641" s="72"/>
      <c r="M641" s="72"/>
      <c r="N641" s="72"/>
      <c r="O641" s="72"/>
      <c r="P641" s="72"/>
      <c r="Q641" s="63">
        <f t="shared" si="47"/>
        <v>0</v>
      </c>
      <c r="R641" s="72">
        <f t="shared" si="47"/>
        <v>0</v>
      </c>
      <c r="S641" s="63">
        <f t="shared" si="48"/>
        <v>0</v>
      </c>
    </row>
    <row r="642" spans="1:19" x14ac:dyDescent="0.25">
      <c r="A642" s="116" t="s">
        <v>2374</v>
      </c>
      <c r="B642" s="116" t="s">
        <v>2375</v>
      </c>
      <c r="C642" s="117">
        <v>419</v>
      </c>
      <c r="D642" s="91" t="s">
        <v>2376</v>
      </c>
      <c r="E642" s="91" t="s">
        <v>19</v>
      </c>
      <c r="F642" s="121">
        <v>41694</v>
      </c>
      <c r="G642" s="118">
        <v>173.31</v>
      </c>
      <c r="H642" s="72"/>
      <c r="I642" s="72"/>
      <c r="J642" s="72"/>
      <c r="K642" s="72"/>
      <c r="L642" s="72"/>
      <c r="M642" s="72"/>
      <c r="N642" s="72"/>
      <c r="O642" s="72"/>
      <c r="P642" s="72"/>
      <c r="Q642" s="63">
        <f t="shared" si="47"/>
        <v>173.31</v>
      </c>
      <c r="R642" s="72">
        <f t="shared" si="47"/>
        <v>0</v>
      </c>
      <c r="S642" s="63">
        <f t="shared" si="48"/>
        <v>173.31</v>
      </c>
    </row>
    <row r="643" spans="1:19" x14ac:dyDescent="0.25">
      <c r="A643" s="116" t="s">
        <v>2377</v>
      </c>
      <c r="B643" s="116" t="s">
        <v>2378</v>
      </c>
      <c r="C643" s="117">
        <v>420</v>
      </c>
      <c r="D643" s="91" t="s">
        <v>2379</v>
      </c>
      <c r="E643" s="91" t="s">
        <v>19</v>
      </c>
      <c r="F643" s="121">
        <v>41571</v>
      </c>
      <c r="G643" s="118">
        <f>640+173.2+142.91+94.4+300+268.1</f>
        <v>1618.6100000000001</v>
      </c>
      <c r="H643" s="72"/>
      <c r="I643" s="120">
        <v>175</v>
      </c>
      <c r="J643" s="72"/>
      <c r="K643" s="72"/>
      <c r="L643" s="72"/>
      <c r="M643" s="72"/>
      <c r="N643" s="72"/>
      <c r="O643" s="72"/>
      <c r="P643" s="72"/>
      <c r="Q643" s="63">
        <f t="shared" si="47"/>
        <v>1793.6100000000001</v>
      </c>
      <c r="R643" s="72">
        <f t="shared" si="47"/>
        <v>0</v>
      </c>
      <c r="S643" s="63">
        <f t="shared" si="48"/>
        <v>1793.6100000000001</v>
      </c>
    </row>
    <row r="644" spans="1:19" x14ac:dyDescent="0.25">
      <c r="A644" s="116" t="s">
        <v>2380</v>
      </c>
      <c r="B644" s="116" t="s">
        <v>2381</v>
      </c>
      <c r="C644" s="117">
        <v>421</v>
      </c>
      <c r="D644" s="91" t="s">
        <v>2382</v>
      </c>
      <c r="E644" s="91" t="s">
        <v>19</v>
      </c>
      <c r="F644" s="121">
        <v>41577</v>
      </c>
      <c r="G644" s="118">
        <f>805.74+167.5+221.62+131.46+236.6+121.32+236.6+131.46+167.5+197.54</f>
        <v>2417.3399999999997</v>
      </c>
      <c r="H644" s="72"/>
      <c r="I644" s="120">
        <f>2250</f>
        <v>2250</v>
      </c>
      <c r="J644" s="72"/>
      <c r="K644" s="72"/>
      <c r="L644" s="72"/>
      <c r="M644" s="72"/>
      <c r="N644" s="72"/>
      <c r="O644" s="72"/>
      <c r="P644" s="72"/>
      <c r="Q644" s="63">
        <f t="shared" si="47"/>
        <v>4667.34</v>
      </c>
      <c r="R644" s="72">
        <f t="shared" si="47"/>
        <v>0</v>
      </c>
      <c r="S644" s="63">
        <f t="shared" si="48"/>
        <v>4667.34</v>
      </c>
    </row>
    <row r="645" spans="1:19" x14ac:dyDescent="0.25">
      <c r="A645" s="116" t="s">
        <v>2383</v>
      </c>
      <c r="B645" s="116" t="s">
        <v>2384</v>
      </c>
      <c r="C645" s="117">
        <v>422</v>
      </c>
      <c r="D645" s="91" t="s">
        <v>2385</v>
      </c>
      <c r="E645" s="91" t="s">
        <v>19</v>
      </c>
      <c r="F645" s="121">
        <v>41562</v>
      </c>
      <c r="G645" s="118"/>
      <c r="H645" s="72"/>
      <c r="I645" s="72"/>
      <c r="J645" s="72"/>
      <c r="K645" s="72"/>
      <c r="L645" s="72"/>
      <c r="M645" s="72"/>
      <c r="N645" s="72"/>
      <c r="O645" s="72"/>
      <c r="P645" s="72"/>
      <c r="Q645" s="63">
        <f t="shared" si="47"/>
        <v>0</v>
      </c>
      <c r="R645" s="72">
        <f t="shared" si="47"/>
        <v>0</v>
      </c>
      <c r="S645" s="63">
        <f t="shared" si="48"/>
        <v>0</v>
      </c>
    </row>
    <row r="646" spans="1:19" x14ac:dyDescent="0.25">
      <c r="A646" s="116" t="s">
        <v>2383</v>
      </c>
      <c r="B646" s="116" t="s">
        <v>2384</v>
      </c>
      <c r="C646" s="117">
        <v>422</v>
      </c>
      <c r="D646" s="91" t="s">
        <v>2386</v>
      </c>
      <c r="E646" s="91" t="s">
        <v>19</v>
      </c>
      <c r="F646" s="121">
        <v>41562</v>
      </c>
      <c r="G646" s="118"/>
      <c r="H646" s="72"/>
      <c r="I646" s="72"/>
      <c r="J646" s="72"/>
      <c r="K646" s="72"/>
      <c r="L646" s="72"/>
      <c r="M646" s="72"/>
      <c r="N646" s="72"/>
      <c r="O646" s="72"/>
      <c r="P646" s="72"/>
      <c r="Q646" s="63">
        <f t="shared" si="47"/>
        <v>0</v>
      </c>
      <c r="R646" s="72">
        <f t="shared" si="47"/>
        <v>0</v>
      </c>
      <c r="S646" s="63">
        <f t="shared" si="48"/>
        <v>0</v>
      </c>
    </row>
    <row r="647" spans="1:19" x14ac:dyDescent="0.25">
      <c r="A647" s="116" t="s">
        <v>2383</v>
      </c>
      <c r="B647" s="116" t="s">
        <v>2384</v>
      </c>
      <c r="C647" s="117">
        <v>422</v>
      </c>
      <c r="D647" s="91" t="s">
        <v>2387</v>
      </c>
      <c r="E647" s="91" t="s">
        <v>19</v>
      </c>
      <c r="F647" s="121">
        <v>41562</v>
      </c>
      <c r="G647" s="118"/>
      <c r="H647" s="72"/>
      <c r="I647" s="72"/>
      <c r="J647" s="72"/>
      <c r="K647" s="72"/>
      <c r="L647" s="72"/>
      <c r="M647" s="72"/>
      <c r="N647" s="72"/>
      <c r="O647" s="72"/>
      <c r="P647" s="72"/>
      <c r="Q647" s="63">
        <f t="shared" si="47"/>
        <v>0</v>
      </c>
      <c r="R647" s="72">
        <f t="shared" si="47"/>
        <v>0</v>
      </c>
      <c r="S647" s="63">
        <f t="shared" si="48"/>
        <v>0</v>
      </c>
    </row>
    <row r="648" spans="1:19" x14ac:dyDescent="0.25">
      <c r="A648" s="116" t="s">
        <v>2383</v>
      </c>
      <c r="B648" s="116" t="s">
        <v>2384</v>
      </c>
      <c r="C648" s="117">
        <v>422</v>
      </c>
      <c r="D648" s="91" t="s">
        <v>2388</v>
      </c>
      <c r="E648" s="91" t="s">
        <v>19</v>
      </c>
      <c r="F648" s="121">
        <v>41562</v>
      </c>
      <c r="G648" s="118"/>
      <c r="H648" s="72"/>
      <c r="I648" s="72"/>
      <c r="J648" s="72"/>
      <c r="K648" s="72"/>
      <c r="L648" s="72"/>
      <c r="M648" s="72"/>
      <c r="N648" s="72"/>
      <c r="O648" s="72"/>
      <c r="P648" s="72"/>
      <c r="Q648" s="63">
        <f t="shared" si="47"/>
        <v>0</v>
      </c>
      <c r="R648" s="72">
        <f t="shared" si="47"/>
        <v>0</v>
      </c>
      <c r="S648" s="63">
        <f t="shared" si="48"/>
        <v>0</v>
      </c>
    </row>
    <row r="649" spans="1:19" x14ac:dyDescent="0.25">
      <c r="A649" s="116" t="s">
        <v>2383</v>
      </c>
      <c r="B649" s="116" t="s">
        <v>2384</v>
      </c>
      <c r="C649" s="117">
        <v>422</v>
      </c>
      <c r="D649" s="91" t="s">
        <v>2389</v>
      </c>
      <c r="E649" s="91" t="s">
        <v>19</v>
      </c>
      <c r="F649" s="121">
        <v>41562</v>
      </c>
      <c r="G649" s="118">
        <v>67.88</v>
      </c>
      <c r="H649" s="72"/>
      <c r="I649" s="72"/>
      <c r="J649" s="72"/>
      <c r="K649" s="72"/>
      <c r="L649" s="72"/>
      <c r="M649" s="72"/>
      <c r="N649" s="72"/>
      <c r="O649" s="72"/>
      <c r="P649" s="72"/>
      <c r="Q649" s="63">
        <f t="shared" si="47"/>
        <v>67.88</v>
      </c>
      <c r="R649" s="72">
        <f t="shared" si="47"/>
        <v>0</v>
      </c>
      <c r="S649" s="63">
        <f t="shared" si="48"/>
        <v>67.88</v>
      </c>
    </row>
    <row r="650" spans="1:19" x14ac:dyDescent="0.25">
      <c r="A650" s="116" t="s">
        <v>2383</v>
      </c>
      <c r="B650" s="116" t="s">
        <v>2384</v>
      </c>
      <c r="C650" s="117">
        <v>422</v>
      </c>
      <c r="D650" s="91" t="s">
        <v>2390</v>
      </c>
      <c r="E650" s="91" t="s">
        <v>19</v>
      </c>
      <c r="F650" s="121">
        <v>41562</v>
      </c>
      <c r="G650" s="118"/>
      <c r="H650" s="72"/>
      <c r="I650" s="72"/>
      <c r="J650" s="72"/>
      <c r="K650" s="72"/>
      <c r="L650" s="72"/>
      <c r="M650" s="72"/>
      <c r="N650" s="72"/>
      <c r="O650" s="72"/>
      <c r="P650" s="72"/>
      <c r="Q650" s="63">
        <f t="shared" si="47"/>
        <v>0</v>
      </c>
      <c r="R650" s="72">
        <f t="shared" si="47"/>
        <v>0</v>
      </c>
      <c r="S650" s="63">
        <f t="shared" si="48"/>
        <v>0</v>
      </c>
    </row>
    <row r="651" spans="1:19" x14ac:dyDescent="0.25">
      <c r="A651" s="116" t="s">
        <v>2383</v>
      </c>
      <c r="B651" s="116" t="s">
        <v>2384</v>
      </c>
      <c r="C651" s="117">
        <v>422</v>
      </c>
      <c r="D651" s="91" t="s">
        <v>2391</v>
      </c>
      <c r="E651" s="91" t="s">
        <v>19</v>
      </c>
      <c r="F651" s="121">
        <v>41562</v>
      </c>
      <c r="G651" s="118"/>
      <c r="H651" s="72"/>
      <c r="I651" s="72"/>
      <c r="J651" s="72"/>
      <c r="K651" s="72"/>
      <c r="L651" s="72"/>
      <c r="M651" s="72"/>
      <c r="N651" s="72"/>
      <c r="O651" s="72"/>
      <c r="P651" s="72"/>
      <c r="Q651" s="63">
        <f t="shared" si="47"/>
        <v>0</v>
      </c>
      <c r="R651" s="72">
        <f t="shared" si="47"/>
        <v>0</v>
      </c>
      <c r="S651" s="63">
        <f t="shared" si="48"/>
        <v>0</v>
      </c>
    </row>
    <row r="652" spans="1:19" x14ac:dyDescent="0.25">
      <c r="A652" s="116" t="s">
        <v>2383</v>
      </c>
      <c r="B652" s="116" t="s">
        <v>2384</v>
      </c>
      <c r="C652" s="117">
        <v>422</v>
      </c>
      <c r="D652" s="91" t="s">
        <v>2392</v>
      </c>
      <c r="E652" s="91" t="s">
        <v>19</v>
      </c>
      <c r="F652" s="121">
        <v>41562</v>
      </c>
      <c r="G652" s="118"/>
      <c r="H652" s="72"/>
      <c r="I652" s="72"/>
      <c r="J652" s="72"/>
      <c r="K652" s="72"/>
      <c r="L652" s="72"/>
      <c r="M652" s="72"/>
      <c r="N652" s="72"/>
      <c r="O652" s="72"/>
      <c r="P652" s="72"/>
      <c r="Q652" s="63">
        <f t="shared" si="47"/>
        <v>0</v>
      </c>
      <c r="R652" s="72">
        <f t="shared" si="47"/>
        <v>0</v>
      </c>
      <c r="S652" s="63">
        <f t="shared" si="48"/>
        <v>0</v>
      </c>
    </row>
    <row r="653" spans="1:19" x14ac:dyDescent="0.25">
      <c r="A653" s="116" t="s">
        <v>2383</v>
      </c>
      <c r="B653" s="116" t="s">
        <v>2384</v>
      </c>
      <c r="C653" s="117">
        <v>422</v>
      </c>
      <c r="D653" s="91" t="s">
        <v>2393</v>
      </c>
      <c r="E653" s="91" t="s">
        <v>19</v>
      </c>
      <c r="F653" s="121">
        <v>41562</v>
      </c>
      <c r="G653" s="118"/>
      <c r="H653" s="72"/>
      <c r="I653" s="72"/>
      <c r="J653" s="72"/>
      <c r="K653" s="72"/>
      <c r="L653" s="72"/>
      <c r="M653" s="72"/>
      <c r="N653" s="72"/>
      <c r="O653" s="72"/>
      <c r="P653" s="72"/>
      <c r="Q653" s="63">
        <f t="shared" si="47"/>
        <v>0</v>
      </c>
      <c r="R653" s="72">
        <f t="shared" si="47"/>
        <v>0</v>
      </c>
      <c r="S653" s="63">
        <f t="shared" si="48"/>
        <v>0</v>
      </c>
    </row>
    <row r="654" spans="1:19" x14ac:dyDescent="0.25">
      <c r="A654" s="116" t="s">
        <v>2383</v>
      </c>
      <c r="B654" s="116" t="s">
        <v>2384</v>
      </c>
      <c r="C654" s="117">
        <v>422</v>
      </c>
      <c r="D654" s="91" t="s">
        <v>2394</v>
      </c>
      <c r="E654" s="91" t="s">
        <v>19</v>
      </c>
      <c r="F654" s="121">
        <v>41562</v>
      </c>
      <c r="G654" s="118"/>
      <c r="H654" s="72"/>
      <c r="I654" s="72"/>
      <c r="J654" s="72"/>
      <c r="K654" s="72"/>
      <c r="L654" s="72"/>
      <c r="M654" s="72"/>
      <c r="N654" s="72"/>
      <c r="O654" s="72"/>
      <c r="P654" s="72"/>
      <c r="Q654" s="63">
        <f t="shared" ref="Q654:R720" si="54">+G654+I654+K654+M654+O654</f>
        <v>0</v>
      </c>
      <c r="R654" s="72">
        <f t="shared" si="54"/>
        <v>0</v>
      </c>
      <c r="S654" s="63">
        <f t="shared" ref="S654:S720" si="55">+Q654+R654</f>
        <v>0</v>
      </c>
    </row>
    <row r="655" spans="1:19" x14ac:dyDescent="0.25">
      <c r="A655" s="116" t="s">
        <v>2383</v>
      </c>
      <c r="B655" s="116" t="s">
        <v>2384</v>
      </c>
      <c r="C655" s="117">
        <v>422</v>
      </c>
      <c r="D655" s="91" t="s">
        <v>2395</v>
      </c>
      <c r="E655" s="91" t="s">
        <v>19</v>
      </c>
      <c r="F655" s="121">
        <v>41562</v>
      </c>
      <c r="G655" s="118">
        <f>305.4+160+70.8+23.18+50.3+86.23+47.2+131.7+16.76+1116+238+153.4+94.4+55.2+17.6+241.35+335+33.52+335+47.2+17.38+335+133.43+48.64+629.51+56.76+105.02</f>
        <v>4883.9799999999996</v>
      </c>
      <c r="H655" s="73"/>
      <c r="I655" s="120">
        <f>2250+375</f>
        <v>2625</v>
      </c>
      <c r="J655" s="72"/>
      <c r="K655" s="72"/>
      <c r="L655" s="72"/>
      <c r="M655" s="72"/>
      <c r="N655" s="72"/>
      <c r="O655" s="72"/>
      <c r="P655" s="72"/>
      <c r="Q655" s="63">
        <f t="shared" si="54"/>
        <v>7508.98</v>
      </c>
      <c r="R655" s="72">
        <f t="shared" si="54"/>
        <v>0</v>
      </c>
      <c r="S655" s="63">
        <f t="shared" si="55"/>
        <v>7508.98</v>
      </c>
    </row>
    <row r="656" spans="1:19" x14ac:dyDescent="0.25">
      <c r="A656" s="116" t="s">
        <v>2383</v>
      </c>
      <c r="B656" s="116" t="s">
        <v>2384</v>
      </c>
      <c r="C656" s="117">
        <v>422</v>
      </c>
      <c r="D656" s="91" t="s">
        <v>2396</v>
      </c>
      <c r="E656" s="91" t="s">
        <v>19</v>
      </c>
      <c r="F656" s="121">
        <v>41562</v>
      </c>
      <c r="G656" s="118"/>
      <c r="H656" s="72"/>
      <c r="I656" s="72"/>
      <c r="J656" s="72"/>
      <c r="K656" s="72"/>
      <c r="L656" s="72"/>
      <c r="M656" s="123">
        <v>3700</v>
      </c>
      <c r="N656" s="72"/>
      <c r="O656" s="123">
        <v>14800</v>
      </c>
      <c r="P656" s="72"/>
      <c r="Q656" s="63">
        <f t="shared" si="54"/>
        <v>18500</v>
      </c>
      <c r="R656" s="72">
        <f t="shared" si="54"/>
        <v>0</v>
      </c>
      <c r="S656" s="63">
        <f t="shared" si="55"/>
        <v>18500</v>
      </c>
    </row>
    <row r="657" spans="1:19" x14ac:dyDescent="0.25">
      <c r="A657" s="116" t="s">
        <v>2397</v>
      </c>
      <c r="B657" s="116" t="s">
        <v>2398</v>
      </c>
      <c r="C657" s="117">
        <v>423</v>
      </c>
      <c r="D657" s="91" t="s">
        <v>2399</v>
      </c>
      <c r="E657" s="91" t="s">
        <v>19</v>
      </c>
      <c r="F657" s="121">
        <v>41571</v>
      </c>
      <c r="G657" s="122">
        <f>238+158.56+2696.51+94.1+182+103.25+23.18+70.8+48.64+1420.6+515.9+220</f>
        <v>5771.5399999999991</v>
      </c>
      <c r="H657" s="72"/>
      <c r="I657" s="120">
        <f>1850+375</f>
        <v>2225</v>
      </c>
      <c r="J657" s="72"/>
      <c r="K657" s="72"/>
      <c r="L657" s="72"/>
      <c r="M657" s="72"/>
      <c r="N657" s="72"/>
      <c r="O657" s="72"/>
      <c r="P657" s="72"/>
      <c r="Q657" s="63">
        <f t="shared" si="54"/>
        <v>7996.5399999999991</v>
      </c>
      <c r="R657" s="72">
        <f t="shared" si="54"/>
        <v>0</v>
      </c>
      <c r="S657" s="63">
        <f t="shared" si="55"/>
        <v>7996.5399999999991</v>
      </c>
    </row>
    <row r="658" spans="1:19" x14ac:dyDescent="0.25">
      <c r="A658" s="116" t="s">
        <v>2400</v>
      </c>
      <c r="B658" s="116" t="s">
        <v>2401</v>
      </c>
      <c r="C658" s="117">
        <v>424</v>
      </c>
      <c r="D658" s="91" t="s">
        <v>2402</v>
      </c>
      <c r="E658" s="91" t="s">
        <v>19</v>
      </c>
      <c r="F658" s="121">
        <v>41571</v>
      </c>
      <c r="G658" s="118"/>
      <c r="H658" s="72"/>
      <c r="I658" s="72"/>
      <c r="J658" s="72"/>
      <c r="K658" s="72"/>
      <c r="L658" s="72"/>
      <c r="M658" s="72"/>
      <c r="N658" s="72"/>
      <c r="O658" s="72"/>
      <c r="P658" s="72"/>
      <c r="Q658" s="63">
        <f t="shared" si="54"/>
        <v>0</v>
      </c>
      <c r="R658" s="72">
        <f t="shared" si="54"/>
        <v>0</v>
      </c>
      <c r="S658" s="63">
        <f t="shared" si="55"/>
        <v>0</v>
      </c>
    </row>
    <row r="659" spans="1:19" x14ac:dyDescent="0.25">
      <c r="A659" s="116" t="s">
        <v>2315</v>
      </c>
      <c r="B659" s="116" t="s">
        <v>2316</v>
      </c>
      <c r="C659" s="117">
        <v>425</v>
      </c>
      <c r="D659" s="91" t="s">
        <v>2318</v>
      </c>
      <c r="E659" s="91" t="s">
        <v>19</v>
      </c>
      <c r="F659" s="121">
        <v>41538</v>
      </c>
      <c r="G659" s="118"/>
      <c r="H659" s="72"/>
      <c r="I659" s="72"/>
      <c r="J659" s="72"/>
      <c r="K659" s="72"/>
      <c r="L659" s="72"/>
      <c r="M659" s="72"/>
      <c r="N659" s="72"/>
      <c r="O659" s="72"/>
      <c r="P659" s="72"/>
      <c r="Q659" s="63">
        <f t="shared" si="54"/>
        <v>0</v>
      </c>
      <c r="R659" s="72">
        <f t="shared" si="54"/>
        <v>0</v>
      </c>
      <c r="S659" s="63">
        <f t="shared" si="55"/>
        <v>0</v>
      </c>
    </row>
    <row r="660" spans="1:19" x14ac:dyDescent="0.25">
      <c r="A660" s="116" t="s">
        <v>2315</v>
      </c>
      <c r="B660" s="116" t="s">
        <v>2316</v>
      </c>
      <c r="C660" s="117">
        <v>425</v>
      </c>
      <c r="D660" s="91" t="s">
        <v>2317</v>
      </c>
      <c r="E660" s="91" t="s">
        <v>19</v>
      </c>
      <c r="F660" s="121">
        <v>41538</v>
      </c>
      <c r="G660" s="118"/>
      <c r="H660" s="72"/>
      <c r="I660" s="72"/>
      <c r="J660" s="72"/>
      <c r="K660" s="72"/>
      <c r="L660" s="72"/>
      <c r="M660" s="72"/>
      <c r="N660" s="72"/>
      <c r="O660" s="72"/>
      <c r="P660" s="72"/>
      <c r="Q660" s="63">
        <f t="shared" si="54"/>
        <v>0</v>
      </c>
      <c r="R660" s="72">
        <f t="shared" si="54"/>
        <v>0</v>
      </c>
      <c r="S660" s="63">
        <f t="shared" si="55"/>
        <v>0</v>
      </c>
    </row>
    <row r="661" spans="1:19" x14ac:dyDescent="0.25">
      <c r="A661" s="116" t="s">
        <v>2403</v>
      </c>
      <c r="B661" s="116" t="s">
        <v>2404</v>
      </c>
      <c r="C661" s="117">
        <v>426</v>
      </c>
      <c r="D661" s="91" t="s">
        <v>2405</v>
      </c>
      <c r="E661" s="91" t="s">
        <v>19</v>
      </c>
      <c r="F661" s="121">
        <v>41577</v>
      </c>
      <c r="G661" s="118">
        <v>190.93</v>
      </c>
      <c r="H661" s="72"/>
      <c r="I661" s="72"/>
      <c r="J661" s="72"/>
      <c r="K661" s="72"/>
      <c r="L661" s="72"/>
      <c r="M661" s="72"/>
      <c r="N661" s="72"/>
      <c r="O661" s="72"/>
      <c r="P661" s="72"/>
      <c r="Q661" s="63">
        <f t="shared" si="54"/>
        <v>190.93</v>
      </c>
      <c r="R661" s="72">
        <f t="shared" si="54"/>
        <v>0</v>
      </c>
      <c r="S661" s="63">
        <f t="shared" si="55"/>
        <v>190.93</v>
      </c>
    </row>
    <row r="662" spans="1:19" x14ac:dyDescent="0.25">
      <c r="A662" s="116" t="s">
        <v>2406</v>
      </c>
      <c r="B662" s="116" t="s">
        <v>2407</v>
      </c>
      <c r="C662" s="117">
        <v>427</v>
      </c>
      <c r="D662" s="91" t="s">
        <v>2408</v>
      </c>
      <c r="E662" s="91" t="s">
        <v>19</v>
      </c>
      <c r="F662" s="121">
        <v>41586</v>
      </c>
      <c r="G662" s="118">
        <v>103.44</v>
      </c>
      <c r="H662" s="72"/>
      <c r="I662" s="72"/>
      <c r="J662" s="72"/>
      <c r="K662" s="72"/>
      <c r="L662" s="72"/>
      <c r="M662" s="72"/>
      <c r="N662" s="72"/>
      <c r="O662" s="72"/>
      <c r="P662" s="72"/>
      <c r="Q662" s="63">
        <f t="shared" si="54"/>
        <v>103.44</v>
      </c>
      <c r="R662" s="72">
        <f t="shared" si="54"/>
        <v>0</v>
      </c>
      <c r="S662" s="63">
        <f t="shared" si="55"/>
        <v>103.44</v>
      </c>
    </row>
    <row r="663" spans="1:19" x14ac:dyDescent="0.25">
      <c r="A663" s="116" t="s">
        <v>2409</v>
      </c>
      <c r="B663" s="116" t="s">
        <v>2410</v>
      </c>
      <c r="C663" s="117">
        <v>428</v>
      </c>
      <c r="D663" s="91" t="s">
        <v>2411</v>
      </c>
      <c r="E663" s="91" t="s">
        <v>19</v>
      </c>
      <c r="F663" s="121">
        <v>41611</v>
      </c>
      <c r="G663" s="118">
        <v>627.32000000000005</v>
      </c>
      <c r="H663" s="72"/>
      <c r="I663" s="72"/>
      <c r="J663" s="72"/>
      <c r="K663" s="72"/>
      <c r="L663" s="72"/>
      <c r="M663" s="72"/>
      <c r="N663" s="72"/>
      <c r="O663" s="72"/>
      <c r="P663" s="72"/>
      <c r="Q663" s="63">
        <f t="shared" si="54"/>
        <v>627.32000000000005</v>
      </c>
      <c r="R663" s="72">
        <f t="shared" si="54"/>
        <v>0</v>
      </c>
      <c r="S663" s="63">
        <f t="shared" si="55"/>
        <v>627.32000000000005</v>
      </c>
    </row>
    <row r="664" spans="1:19" x14ac:dyDescent="0.25">
      <c r="A664" s="116" t="s">
        <v>2412</v>
      </c>
      <c r="B664" s="116" t="s">
        <v>2413</v>
      </c>
      <c r="C664" s="117">
        <v>429</v>
      </c>
      <c r="D664" s="91" t="s">
        <v>2414</v>
      </c>
      <c r="E664" s="91" t="s">
        <v>19</v>
      </c>
      <c r="F664" s="121">
        <v>41565</v>
      </c>
      <c r="G664" s="118">
        <v>813.3</v>
      </c>
      <c r="H664" s="72"/>
      <c r="I664" s="72"/>
      <c r="J664" s="72"/>
      <c r="K664" s="72"/>
      <c r="L664" s="72"/>
      <c r="M664" s="127">
        <f>3700</f>
        <v>3700</v>
      </c>
      <c r="N664" s="72"/>
      <c r="O664" s="123">
        <v>14800</v>
      </c>
      <c r="P664" s="72"/>
      <c r="Q664" s="63">
        <f t="shared" si="54"/>
        <v>19313.3</v>
      </c>
      <c r="R664" s="72">
        <f t="shared" si="54"/>
        <v>0</v>
      </c>
      <c r="S664" s="63">
        <f t="shared" si="55"/>
        <v>19313.3</v>
      </c>
    </row>
    <row r="665" spans="1:19" x14ac:dyDescent="0.25">
      <c r="A665" s="116" t="s">
        <v>2412</v>
      </c>
      <c r="B665" s="116" t="s">
        <v>2413</v>
      </c>
      <c r="C665" s="117">
        <v>429</v>
      </c>
      <c r="D665" s="91" t="s">
        <v>2415</v>
      </c>
      <c r="E665" s="91" t="s">
        <v>19</v>
      </c>
      <c r="F665" s="121">
        <v>41565</v>
      </c>
      <c r="G665" s="118">
        <f>888+640+55.17+1001.63+275.21+24</f>
        <v>2884.01</v>
      </c>
      <c r="H665" s="72"/>
      <c r="I665" s="72"/>
      <c r="J665" s="72"/>
      <c r="K665" s="72"/>
      <c r="L665" s="72"/>
      <c r="M665" s="72"/>
      <c r="N665" s="72"/>
      <c r="O665" s="72"/>
      <c r="P665" s="72"/>
      <c r="Q665" s="63">
        <f t="shared" si="54"/>
        <v>2884.01</v>
      </c>
      <c r="R665" s="72">
        <f t="shared" si="54"/>
        <v>0</v>
      </c>
      <c r="S665" s="63">
        <f t="shared" si="55"/>
        <v>2884.01</v>
      </c>
    </row>
    <row r="666" spans="1:19" x14ac:dyDescent="0.25">
      <c r="A666" s="116" t="s">
        <v>2416</v>
      </c>
      <c r="B666" s="116" t="s">
        <v>2417</v>
      </c>
      <c r="C666" s="117">
        <v>430</v>
      </c>
      <c r="D666" s="91" t="s">
        <v>2418</v>
      </c>
      <c r="E666" s="91" t="s">
        <v>19</v>
      </c>
      <c r="F666" s="121">
        <v>41772</v>
      </c>
      <c r="G666" s="118">
        <v>308.45</v>
      </c>
      <c r="H666" s="72"/>
      <c r="I666" s="73"/>
      <c r="J666" s="72"/>
      <c r="K666" s="72"/>
      <c r="L666" s="72"/>
      <c r="M666" s="72"/>
      <c r="N666" s="72"/>
      <c r="O666" s="72"/>
      <c r="P666" s="72"/>
      <c r="Q666" s="63">
        <f t="shared" si="54"/>
        <v>308.45</v>
      </c>
      <c r="R666" s="72">
        <f t="shared" si="54"/>
        <v>0</v>
      </c>
      <c r="S666" s="63">
        <f t="shared" si="55"/>
        <v>308.45</v>
      </c>
    </row>
    <row r="667" spans="1:19" x14ac:dyDescent="0.25">
      <c r="A667" s="116" t="s">
        <v>33</v>
      </c>
      <c r="B667" s="116" t="s">
        <v>34</v>
      </c>
      <c r="C667" s="117">
        <v>431</v>
      </c>
      <c r="D667" s="91" t="s">
        <v>2419</v>
      </c>
      <c r="E667" s="91" t="s">
        <v>19</v>
      </c>
      <c r="F667" s="121">
        <v>41587</v>
      </c>
      <c r="G667" s="118">
        <f>47.2+668.16+139.69+5.1+13.6+436.6+64.9+47.2+68.89</f>
        <v>1491.3400000000001</v>
      </c>
      <c r="H667" s="72"/>
      <c r="I667" s="120">
        <v>3000</v>
      </c>
      <c r="J667" s="72"/>
      <c r="K667" s="72"/>
      <c r="L667" s="72"/>
      <c r="M667" s="72"/>
      <c r="N667" s="72"/>
      <c r="O667" s="72"/>
      <c r="P667" s="72"/>
      <c r="Q667" s="63">
        <f t="shared" si="54"/>
        <v>4491.34</v>
      </c>
      <c r="R667" s="72">
        <f t="shared" si="54"/>
        <v>0</v>
      </c>
      <c r="S667" s="63">
        <f t="shared" si="55"/>
        <v>4491.34</v>
      </c>
    </row>
    <row r="668" spans="1:19" x14ac:dyDescent="0.25">
      <c r="A668" s="116" t="s">
        <v>33</v>
      </c>
      <c r="B668" s="116" t="s">
        <v>34</v>
      </c>
      <c r="C668" s="117">
        <v>431</v>
      </c>
      <c r="D668" s="91" t="s">
        <v>2420</v>
      </c>
      <c r="E668" s="91" t="s">
        <v>19</v>
      </c>
      <c r="F668" s="121">
        <v>41587</v>
      </c>
      <c r="G668" s="118">
        <v>163.58000000000001</v>
      </c>
      <c r="H668" s="72"/>
      <c r="I668" s="73"/>
      <c r="J668" s="72"/>
      <c r="K668" s="72"/>
      <c r="L668" s="72"/>
      <c r="M668" s="72"/>
      <c r="N668" s="72"/>
      <c r="O668" s="72"/>
      <c r="P668" s="72"/>
      <c r="Q668" s="63">
        <f t="shared" si="54"/>
        <v>163.58000000000001</v>
      </c>
      <c r="R668" s="72">
        <f t="shared" si="54"/>
        <v>0</v>
      </c>
      <c r="S668" s="63">
        <f t="shared" si="55"/>
        <v>163.58000000000001</v>
      </c>
    </row>
    <row r="669" spans="1:19" x14ac:dyDescent="0.25">
      <c r="A669" s="116" t="s">
        <v>2421</v>
      </c>
      <c r="B669" s="116" t="s">
        <v>2422</v>
      </c>
      <c r="C669" s="117">
        <v>432</v>
      </c>
      <c r="D669" s="91" t="s">
        <v>2423</v>
      </c>
      <c r="E669" s="91" t="s">
        <v>19</v>
      </c>
      <c r="F669" s="121">
        <v>41569</v>
      </c>
      <c r="G669" s="118">
        <f>164.2+60.3+3768+94.87+7.31+238+2160.93+228.38+50+62.39+94.4+32.4+62.39+241.9+68.89+68.89+103.2+1571.04</f>
        <v>9077.4900000000016</v>
      </c>
      <c r="H669" s="72"/>
      <c r="I669" s="120">
        <f>750+750</f>
        <v>1500</v>
      </c>
      <c r="J669" s="72"/>
      <c r="K669" s="72"/>
      <c r="L669" s="72"/>
      <c r="M669" s="72"/>
      <c r="N669" s="72"/>
      <c r="O669" s="72"/>
      <c r="P669" s="72"/>
      <c r="Q669" s="63">
        <f t="shared" si="54"/>
        <v>10577.490000000002</v>
      </c>
      <c r="R669" s="72">
        <f t="shared" si="54"/>
        <v>0</v>
      </c>
      <c r="S669" s="63">
        <f t="shared" si="55"/>
        <v>10577.490000000002</v>
      </c>
    </row>
    <row r="670" spans="1:19" x14ac:dyDescent="0.25">
      <c r="A670" s="116" t="s">
        <v>2424</v>
      </c>
      <c r="B670" s="116" t="s">
        <v>2425</v>
      </c>
      <c r="C670" s="117">
        <v>433</v>
      </c>
      <c r="D670" s="91" t="s">
        <v>2426</v>
      </c>
      <c r="E670" s="91" t="s">
        <v>19</v>
      </c>
      <c r="F670" s="121">
        <v>41571</v>
      </c>
      <c r="G670" s="118">
        <f>238+52.36+34.1+213.72+436.6+139.96+23.18+23.1+47.2+64.9+348.1+68.8+25+558+47.2+47.2+47.2+48.6+161</f>
        <v>2624.22</v>
      </c>
      <c r="H670" s="72"/>
      <c r="I670" s="120">
        <v>1500</v>
      </c>
      <c r="J670" s="72"/>
      <c r="K670" s="72"/>
      <c r="L670" s="72"/>
      <c r="M670" s="72"/>
      <c r="N670" s="72"/>
      <c r="O670" s="72"/>
      <c r="P670" s="72"/>
      <c r="Q670" s="63">
        <f t="shared" si="54"/>
        <v>4124.2199999999993</v>
      </c>
      <c r="R670" s="72">
        <f t="shared" si="54"/>
        <v>0</v>
      </c>
      <c r="S670" s="63">
        <f t="shared" si="55"/>
        <v>4124.2199999999993</v>
      </c>
    </row>
    <row r="671" spans="1:19" x14ac:dyDescent="0.25">
      <c r="A671" s="116" t="s">
        <v>2424</v>
      </c>
      <c r="B671" s="116" t="s">
        <v>2425</v>
      </c>
      <c r="C671" s="117">
        <v>433</v>
      </c>
      <c r="D671" s="91" t="s">
        <v>2427</v>
      </c>
      <c r="E671" s="91" t="s">
        <v>19</v>
      </c>
      <c r="F671" s="121">
        <v>41571</v>
      </c>
      <c r="G671" s="118">
        <f>18.56+47.2+238+141.6+67.07+29.7+47.2+47.2+75</f>
        <v>711.5300000000002</v>
      </c>
      <c r="H671" s="72"/>
      <c r="I671" s="73"/>
      <c r="J671" s="72"/>
      <c r="K671" s="72"/>
      <c r="L671" s="72"/>
      <c r="M671" s="72"/>
      <c r="N671" s="72"/>
      <c r="O671" s="72"/>
      <c r="P671" s="72"/>
      <c r="Q671" s="63">
        <f t="shared" si="54"/>
        <v>711.5300000000002</v>
      </c>
      <c r="R671" s="72">
        <f t="shared" si="54"/>
        <v>0</v>
      </c>
      <c r="S671" s="63">
        <f t="shared" si="55"/>
        <v>711.5300000000002</v>
      </c>
    </row>
    <row r="672" spans="1:19" x14ac:dyDescent="0.25">
      <c r="A672" s="116" t="s">
        <v>2424</v>
      </c>
      <c r="B672" s="116" t="s">
        <v>2425</v>
      </c>
      <c r="C672" s="117">
        <v>433</v>
      </c>
      <c r="D672" s="91" t="s">
        <v>2428</v>
      </c>
      <c r="E672" s="91" t="s">
        <v>19</v>
      </c>
      <c r="F672" s="121">
        <v>41571</v>
      </c>
      <c r="G672" s="118"/>
      <c r="H672" s="72"/>
      <c r="I672" s="72"/>
      <c r="J672" s="72"/>
      <c r="K672" s="72"/>
      <c r="L672" s="72"/>
      <c r="M672" s="72"/>
      <c r="N672" s="72"/>
      <c r="O672" s="72"/>
      <c r="P672" s="72"/>
      <c r="Q672" s="63">
        <f t="shared" si="54"/>
        <v>0</v>
      </c>
      <c r="R672" s="72">
        <f t="shared" si="54"/>
        <v>0</v>
      </c>
      <c r="S672" s="63">
        <f t="shared" si="55"/>
        <v>0</v>
      </c>
    </row>
    <row r="673" spans="1:19" x14ac:dyDescent="0.25">
      <c r="A673" s="116" t="s">
        <v>2424</v>
      </c>
      <c r="B673" s="116" t="s">
        <v>2425</v>
      </c>
      <c r="C673" s="117">
        <v>433</v>
      </c>
      <c r="D673" s="91" t="s">
        <v>2429</v>
      </c>
      <c r="E673" s="91" t="s">
        <v>19</v>
      </c>
      <c r="F673" s="121">
        <v>41571</v>
      </c>
      <c r="G673" s="118">
        <v>108.2</v>
      </c>
      <c r="H673" s="72"/>
      <c r="I673" s="72"/>
      <c r="J673" s="72"/>
      <c r="K673" s="72"/>
      <c r="L673" s="72"/>
      <c r="M673" s="72"/>
      <c r="N673" s="72"/>
      <c r="O673" s="72"/>
      <c r="P673" s="72"/>
      <c r="Q673" s="63">
        <f t="shared" si="54"/>
        <v>108.2</v>
      </c>
      <c r="R673" s="72">
        <f t="shared" si="54"/>
        <v>0</v>
      </c>
      <c r="S673" s="63">
        <f t="shared" si="55"/>
        <v>108.2</v>
      </c>
    </row>
    <row r="674" spans="1:19" x14ac:dyDescent="0.25">
      <c r="A674" s="116" t="s">
        <v>2424</v>
      </c>
      <c r="B674" s="116" t="s">
        <v>2425</v>
      </c>
      <c r="C674" s="117">
        <v>433</v>
      </c>
      <c r="D674" s="91" t="s">
        <v>2430</v>
      </c>
      <c r="E674" s="91" t="s">
        <v>19</v>
      </c>
      <c r="F674" s="121">
        <v>41571</v>
      </c>
      <c r="G674" s="118"/>
      <c r="H674" s="72"/>
      <c r="I674" s="72"/>
      <c r="J674" s="72"/>
      <c r="K674" s="72"/>
      <c r="L674" s="72"/>
      <c r="M674" s="72"/>
      <c r="N674" s="72"/>
      <c r="O674" s="72"/>
      <c r="P674" s="72"/>
      <c r="Q674" s="63">
        <f t="shared" si="54"/>
        <v>0</v>
      </c>
      <c r="R674" s="72">
        <f t="shared" si="54"/>
        <v>0</v>
      </c>
      <c r="S674" s="63">
        <f t="shared" si="55"/>
        <v>0</v>
      </c>
    </row>
    <row r="675" spans="1:19" x14ac:dyDescent="0.25">
      <c r="A675" s="116" t="s">
        <v>2424</v>
      </c>
      <c r="B675" s="116" t="s">
        <v>2425</v>
      </c>
      <c r="C675" s="117">
        <v>433</v>
      </c>
      <c r="D675" s="91" t="s">
        <v>2431</v>
      </c>
      <c r="E675" s="91" t="s">
        <v>19</v>
      </c>
      <c r="F675" s="121">
        <v>41571</v>
      </c>
      <c r="G675" s="118">
        <f>143.2+47.2+29.1+27.29+631.3+64.9+64.9+64.9+436.6+153.4+331</f>
        <v>1993.79</v>
      </c>
      <c r="H675" s="72"/>
      <c r="I675" s="120">
        <v>1500</v>
      </c>
      <c r="J675" s="72"/>
      <c r="K675" s="72"/>
      <c r="L675" s="72"/>
      <c r="M675" s="72"/>
      <c r="N675" s="72"/>
      <c r="O675" s="72"/>
      <c r="P675" s="72"/>
      <c r="Q675" s="63">
        <f t="shared" si="54"/>
        <v>3493.79</v>
      </c>
      <c r="R675" s="72">
        <f t="shared" si="54"/>
        <v>0</v>
      </c>
      <c r="S675" s="63">
        <f t="shared" si="55"/>
        <v>3493.79</v>
      </c>
    </row>
    <row r="676" spans="1:19" x14ac:dyDescent="0.25">
      <c r="A676" s="116" t="s">
        <v>2432</v>
      </c>
      <c r="B676" s="116" t="s">
        <v>2433</v>
      </c>
      <c r="C676" s="117">
        <v>434</v>
      </c>
      <c r="D676" s="91" t="s">
        <v>2434</v>
      </c>
      <c r="E676" s="91" t="s">
        <v>19</v>
      </c>
      <c r="F676" s="121">
        <v>41571</v>
      </c>
      <c r="G676" s="118">
        <f>320+357.9+695+274.45</f>
        <v>1647.3500000000001</v>
      </c>
      <c r="H676" s="72"/>
      <c r="I676" s="73"/>
      <c r="J676" s="72"/>
      <c r="K676" s="72"/>
      <c r="L676" s="72"/>
      <c r="M676" s="72"/>
      <c r="N676" s="72"/>
      <c r="O676" s="72"/>
      <c r="P676" s="72"/>
      <c r="Q676" s="63">
        <f t="shared" si="54"/>
        <v>1647.3500000000001</v>
      </c>
      <c r="R676" s="72">
        <f t="shared" si="54"/>
        <v>0</v>
      </c>
      <c r="S676" s="63">
        <f t="shared" si="55"/>
        <v>1647.3500000000001</v>
      </c>
    </row>
    <row r="677" spans="1:19" x14ac:dyDescent="0.25">
      <c r="A677" s="116" t="s">
        <v>2435</v>
      </c>
      <c r="B677" s="116" t="s">
        <v>2436</v>
      </c>
      <c r="C677" s="117">
        <v>435</v>
      </c>
      <c r="D677" s="91" t="s">
        <v>2437</v>
      </c>
      <c r="E677" s="91" t="s">
        <v>19</v>
      </c>
      <c r="F677" s="121">
        <v>41571</v>
      </c>
      <c r="G677" s="118">
        <f>238+332.5</f>
        <v>570.5</v>
      </c>
      <c r="H677" s="72"/>
      <c r="I677" s="73"/>
      <c r="J677" s="72"/>
      <c r="K677" s="72"/>
      <c r="L677" s="72"/>
      <c r="M677" s="72"/>
      <c r="N677" s="72"/>
      <c r="O677" s="72"/>
      <c r="P677" s="72"/>
      <c r="Q677" s="63">
        <f t="shared" si="54"/>
        <v>570.5</v>
      </c>
      <c r="R677" s="72">
        <f t="shared" si="54"/>
        <v>0</v>
      </c>
      <c r="S677" s="63">
        <f t="shared" si="55"/>
        <v>570.5</v>
      </c>
    </row>
    <row r="678" spans="1:19" x14ac:dyDescent="0.25">
      <c r="A678" s="116" t="s">
        <v>2438</v>
      </c>
      <c r="B678" s="116" t="s">
        <v>2439</v>
      </c>
      <c r="C678" s="117">
        <v>436</v>
      </c>
      <c r="D678" s="91" t="s">
        <v>2440</v>
      </c>
      <c r="E678" s="91" t="s">
        <v>19</v>
      </c>
      <c r="F678" s="121">
        <v>41571</v>
      </c>
      <c r="G678" s="118">
        <f>238+401.9</f>
        <v>639.9</v>
      </c>
      <c r="H678" s="72"/>
      <c r="I678" s="73"/>
      <c r="J678" s="72"/>
      <c r="K678" s="72"/>
      <c r="L678" s="72"/>
      <c r="M678" s="72"/>
      <c r="N678" s="72"/>
      <c r="O678" s="72"/>
      <c r="P678" s="72"/>
      <c r="Q678" s="63">
        <f t="shared" si="54"/>
        <v>639.9</v>
      </c>
      <c r="R678" s="72">
        <f t="shared" si="54"/>
        <v>0</v>
      </c>
      <c r="S678" s="63">
        <f t="shared" si="55"/>
        <v>639.9</v>
      </c>
    </row>
    <row r="679" spans="1:19" x14ac:dyDescent="0.25">
      <c r="A679" s="116" t="s">
        <v>2438</v>
      </c>
      <c r="B679" s="116" t="s">
        <v>2439</v>
      </c>
      <c r="C679" s="117">
        <v>436</v>
      </c>
      <c r="D679" s="91" t="s">
        <v>6268</v>
      </c>
      <c r="E679" s="91" t="s">
        <v>19</v>
      </c>
      <c r="F679" s="121">
        <v>41571</v>
      </c>
      <c r="G679" s="118">
        <v>330.6</v>
      </c>
      <c r="H679" s="72"/>
      <c r="I679" s="73"/>
      <c r="J679" s="72"/>
      <c r="K679" s="72"/>
      <c r="L679" s="72"/>
      <c r="M679" s="72"/>
      <c r="N679" s="72"/>
      <c r="O679" s="72"/>
      <c r="P679" s="72"/>
      <c r="Q679" s="63"/>
      <c r="R679" s="72"/>
      <c r="S679" s="63"/>
    </row>
    <row r="680" spans="1:19" x14ac:dyDescent="0.25">
      <c r="A680" s="116" t="s">
        <v>2441</v>
      </c>
      <c r="B680" s="116" t="s">
        <v>2250</v>
      </c>
      <c r="C680" s="117">
        <v>437</v>
      </c>
      <c r="D680" s="91" t="s">
        <v>2442</v>
      </c>
      <c r="E680" s="91" t="s">
        <v>19</v>
      </c>
      <c r="F680" s="121">
        <v>41580</v>
      </c>
      <c r="G680" s="118">
        <f>49.95+36.1+124.76+135.7</f>
        <v>346.51</v>
      </c>
      <c r="H680" s="72"/>
      <c r="I680" s="73"/>
      <c r="J680" s="72"/>
      <c r="K680" s="72"/>
      <c r="L680" s="72"/>
      <c r="M680" s="72"/>
      <c r="N680" s="72"/>
      <c r="O680" s="72"/>
      <c r="P680" s="72"/>
      <c r="Q680" s="63">
        <f t="shared" si="54"/>
        <v>346.51</v>
      </c>
      <c r="R680" s="72">
        <f t="shared" si="54"/>
        <v>0</v>
      </c>
      <c r="S680" s="63">
        <f t="shared" si="55"/>
        <v>346.51</v>
      </c>
    </row>
    <row r="681" spans="1:19" x14ac:dyDescent="0.25">
      <c r="A681" s="116" t="s">
        <v>2443</v>
      </c>
      <c r="B681" s="116" t="s">
        <v>2444</v>
      </c>
      <c r="C681" s="117">
        <v>438</v>
      </c>
      <c r="D681" s="91" t="s">
        <v>2445</v>
      </c>
      <c r="E681" s="91" t="s">
        <v>19</v>
      </c>
      <c r="F681" s="121">
        <v>41592</v>
      </c>
      <c r="G681" s="118">
        <f>169.81+47.2+16.76+436.6+64.9+16.76+75.41+436.6+436.6</f>
        <v>1700.6399999999999</v>
      </c>
      <c r="H681" s="72"/>
      <c r="I681" s="120">
        <f>2250+750</f>
        <v>3000</v>
      </c>
      <c r="J681" s="72"/>
      <c r="K681" s="72"/>
      <c r="L681" s="72"/>
      <c r="M681" s="72"/>
      <c r="N681" s="72"/>
      <c r="O681" s="72"/>
      <c r="P681" s="72"/>
      <c r="Q681" s="63">
        <f t="shared" si="54"/>
        <v>4700.6399999999994</v>
      </c>
      <c r="R681" s="72">
        <f t="shared" si="54"/>
        <v>0</v>
      </c>
      <c r="S681" s="63">
        <f t="shared" si="55"/>
        <v>4700.6399999999994</v>
      </c>
    </row>
    <row r="682" spans="1:19" x14ac:dyDescent="0.25">
      <c r="A682" s="116" t="s">
        <v>2446</v>
      </c>
      <c r="B682" s="116" t="s">
        <v>2447</v>
      </c>
      <c r="C682" s="117">
        <v>439</v>
      </c>
      <c r="D682" s="91" t="s">
        <v>2448</v>
      </c>
      <c r="E682" s="91" t="s">
        <v>19</v>
      </c>
      <c r="F682" s="121">
        <v>41558</v>
      </c>
      <c r="G682" s="118">
        <f>4004.7+238</f>
        <v>4242.7</v>
      </c>
      <c r="H682" s="72"/>
      <c r="I682" s="73"/>
      <c r="J682" s="72"/>
      <c r="K682" s="72"/>
      <c r="L682" s="72"/>
      <c r="M682" s="120">
        <v>3700</v>
      </c>
      <c r="N682" s="72"/>
      <c r="O682" s="123">
        <v>14800</v>
      </c>
      <c r="P682" s="72"/>
      <c r="Q682" s="63">
        <f t="shared" si="54"/>
        <v>22742.7</v>
      </c>
      <c r="R682" s="72">
        <f t="shared" si="54"/>
        <v>0</v>
      </c>
      <c r="S682" s="63">
        <f t="shared" si="55"/>
        <v>22742.7</v>
      </c>
    </row>
    <row r="683" spans="1:19" x14ac:dyDescent="0.25">
      <c r="A683" s="116" t="s">
        <v>2449</v>
      </c>
      <c r="B683" s="116" t="s">
        <v>2450</v>
      </c>
      <c r="C683" s="117">
        <v>440</v>
      </c>
      <c r="D683" s="91" t="s">
        <v>2451</v>
      </c>
      <c r="E683" s="91" t="s">
        <v>19</v>
      </c>
      <c r="F683" s="121">
        <v>41584</v>
      </c>
      <c r="G683" s="118">
        <f>558+320+558+766.35+4334+7460+4480</f>
        <v>18476.349999999999</v>
      </c>
      <c r="H683" s="72"/>
      <c r="I683" s="120">
        <v>3700</v>
      </c>
      <c r="J683" s="72"/>
      <c r="K683" s="120">
        <v>3552</v>
      </c>
      <c r="L683" s="72"/>
      <c r="M683" s="72"/>
      <c r="N683" s="72"/>
      <c r="O683" s="72"/>
      <c r="P683" s="72"/>
      <c r="Q683" s="63">
        <f t="shared" si="54"/>
        <v>25728.35</v>
      </c>
      <c r="R683" s="72">
        <f t="shared" si="54"/>
        <v>0</v>
      </c>
      <c r="S683" s="63">
        <f t="shared" si="55"/>
        <v>25728.35</v>
      </c>
    </row>
    <row r="684" spans="1:19" x14ac:dyDescent="0.25">
      <c r="A684" s="116" t="s">
        <v>2449</v>
      </c>
      <c r="B684" s="116" t="s">
        <v>2450</v>
      </c>
      <c r="C684" s="117">
        <v>440</v>
      </c>
      <c r="D684" s="91" t="s">
        <v>2452</v>
      </c>
      <c r="E684" s="91" t="s">
        <v>19</v>
      </c>
      <c r="F684" s="121">
        <v>41584</v>
      </c>
      <c r="G684" s="118">
        <v>80.599999999999994</v>
      </c>
      <c r="H684" s="72"/>
      <c r="I684" s="72"/>
      <c r="J684" s="72"/>
      <c r="K684" s="72"/>
      <c r="L684" s="72"/>
      <c r="M684" s="72"/>
      <c r="N684" s="72"/>
      <c r="O684" s="72"/>
      <c r="P684" s="72"/>
      <c r="Q684" s="63">
        <f t="shared" si="54"/>
        <v>80.599999999999994</v>
      </c>
      <c r="R684" s="72">
        <f t="shared" si="54"/>
        <v>0</v>
      </c>
      <c r="S684" s="63">
        <f t="shared" si="55"/>
        <v>80.599999999999994</v>
      </c>
    </row>
    <row r="685" spans="1:19" x14ac:dyDescent="0.25">
      <c r="A685" s="116" t="s">
        <v>2449</v>
      </c>
      <c r="B685" s="116" t="s">
        <v>2450</v>
      </c>
      <c r="C685" s="117">
        <v>440</v>
      </c>
      <c r="D685" s="124" t="s">
        <v>2453</v>
      </c>
      <c r="E685" s="91" t="s">
        <v>19</v>
      </c>
      <c r="F685" s="121">
        <v>41584</v>
      </c>
      <c r="G685" s="118">
        <v>385.9</v>
      </c>
      <c r="H685" s="72"/>
      <c r="I685" s="72"/>
      <c r="J685" s="72"/>
      <c r="K685" s="72"/>
      <c r="L685" s="72"/>
      <c r="M685" s="72"/>
      <c r="N685" s="72"/>
      <c r="O685" s="72"/>
      <c r="P685" s="72"/>
      <c r="Q685" s="63">
        <f t="shared" si="54"/>
        <v>385.9</v>
      </c>
      <c r="R685" s="72">
        <f t="shared" si="54"/>
        <v>0</v>
      </c>
      <c r="S685" s="63">
        <f t="shared" si="55"/>
        <v>385.9</v>
      </c>
    </row>
    <row r="686" spans="1:19" x14ac:dyDescent="0.25">
      <c r="A686" s="116" t="s">
        <v>2454</v>
      </c>
      <c r="B686" s="116" t="s">
        <v>2455</v>
      </c>
      <c r="C686" s="117">
        <v>441</v>
      </c>
      <c r="D686" s="91" t="s">
        <v>2456</v>
      </c>
      <c r="E686" s="91" t="s">
        <v>19</v>
      </c>
      <c r="F686" s="121">
        <v>41570</v>
      </c>
      <c r="G686" s="118">
        <v>85.43</v>
      </c>
      <c r="H686" s="72"/>
      <c r="I686" s="72"/>
      <c r="J686" s="72"/>
      <c r="K686" s="72"/>
      <c r="L686" s="72"/>
      <c r="M686" s="72"/>
      <c r="N686" s="72"/>
      <c r="O686" s="72"/>
      <c r="P686" s="72"/>
      <c r="Q686" s="63">
        <f t="shared" si="54"/>
        <v>85.43</v>
      </c>
      <c r="R686" s="72">
        <f t="shared" si="54"/>
        <v>0</v>
      </c>
      <c r="S686" s="63">
        <f t="shared" si="55"/>
        <v>85.43</v>
      </c>
    </row>
    <row r="687" spans="1:19" x14ac:dyDescent="0.25">
      <c r="A687" s="116" t="s">
        <v>2454</v>
      </c>
      <c r="B687" s="116" t="s">
        <v>2455</v>
      </c>
      <c r="C687" s="117">
        <v>441</v>
      </c>
      <c r="D687" s="91" t="s">
        <v>2457</v>
      </c>
      <c r="E687" s="91" t="s">
        <v>19</v>
      </c>
      <c r="F687" s="121">
        <v>41570</v>
      </c>
      <c r="G687" s="118">
        <f>19.05+69.39+135.91+116.59+241.9+153.4</f>
        <v>736.24</v>
      </c>
      <c r="H687" s="72"/>
      <c r="I687" s="120">
        <v>175</v>
      </c>
      <c r="J687" s="72"/>
      <c r="K687" s="72"/>
      <c r="L687" s="72"/>
      <c r="M687" s="72"/>
      <c r="N687" s="72"/>
      <c r="O687" s="72"/>
      <c r="P687" s="72"/>
      <c r="Q687" s="63">
        <f t="shared" si="54"/>
        <v>911.24</v>
      </c>
      <c r="R687" s="72">
        <f t="shared" si="54"/>
        <v>0</v>
      </c>
      <c r="S687" s="63">
        <f t="shared" si="55"/>
        <v>911.24</v>
      </c>
    </row>
    <row r="688" spans="1:19" x14ac:dyDescent="0.25">
      <c r="A688" s="116" t="s">
        <v>2454</v>
      </c>
      <c r="B688" s="116" t="s">
        <v>2455</v>
      </c>
      <c r="C688" s="117">
        <v>441</v>
      </c>
      <c r="D688" s="91" t="s">
        <v>2458</v>
      </c>
      <c r="E688" s="91" t="s">
        <v>19</v>
      </c>
      <c r="F688" s="121">
        <v>41570</v>
      </c>
      <c r="G688" s="118">
        <v>125.63</v>
      </c>
      <c r="H688" s="72"/>
      <c r="I688" s="72"/>
      <c r="J688" s="72"/>
      <c r="K688" s="72"/>
      <c r="L688" s="72"/>
      <c r="M688" s="72"/>
      <c r="N688" s="72"/>
      <c r="O688" s="72"/>
      <c r="P688" s="72"/>
      <c r="Q688" s="63">
        <f t="shared" si="54"/>
        <v>125.63</v>
      </c>
      <c r="R688" s="72">
        <f t="shared" si="54"/>
        <v>0</v>
      </c>
      <c r="S688" s="63">
        <f t="shared" si="55"/>
        <v>125.63</v>
      </c>
    </row>
    <row r="689" spans="1:19" x14ac:dyDescent="0.25">
      <c r="A689" s="116" t="s">
        <v>2459</v>
      </c>
      <c r="B689" s="116" t="s">
        <v>2460</v>
      </c>
      <c r="C689" s="117">
        <v>442</v>
      </c>
      <c r="D689" s="91" t="s">
        <v>2461</v>
      </c>
      <c r="E689" s="91" t="s">
        <v>19</v>
      </c>
      <c r="F689" s="121">
        <v>41570</v>
      </c>
      <c r="G689" s="118">
        <v>227.45</v>
      </c>
      <c r="H689" s="72"/>
      <c r="I689" s="72"/>
      <c r="J689" s="72"/>
      <c r="K689" s="72"/>
      <c r="L689" s="72"/>
      <c r="M689" s="72"/>
      <c r="N689" s="72"/>
      <c r="O689" s="72"/>
      <c r="P689" s="72"/>
      <c r="Q689" s="63">
        <f t="shared" si="54"/>
        <v>227.45</v>
      </c>
      <c r="R689" s="72">
        <f t="shared" si="54"/>
        <v>0</v>
      </c>
      <c r="S689" s="63">
        <f t="shared" si="55"/>
        <v>227.45</v>
      </c>
    </row>
    <row r="690" spans="1:19" x14ac:dyDescent="0.25">
      <c r="A690" s="116" t="s">
        <v>2459</v>
      </c>
      <c r="B690" s="116" t="s">
        <v>2460</v>
      </c>
      <c r="C690" s="117">
        <v>442</v>
      </c>
      <c r="D690" s="91" t="s">
        <v>3117</v>
      </c>
      <c r="E690" s="91" t="s">
        <v>19</v>
      </c>
      <c r="F690" s="121">
        <v>41570</v>
      </c>
      <c r="G690" s="118">
        <v>217.48</v>
      </c>
      <c r="H690" s="72"/>
      <c r="I690" s="72"/>
      <c r="J690" s="72"/>
      <c r="K690" s="72"/>
      <c r="L690" s="72"/>
      <c r="M690" s="72"/>
      <c r="N690" s="72"/>
      <c r="O690" s="72"/>
      <c r="P690" s="72"/>
      <c r="Q690" s="63">
        <f>+G690+I690+K690+M690+O690</f>
        <v>217.48</v>
      </c>
      <c r="R690" s="72">
        <f>+H690+J690+L690+N690+P690</f>
        <v>0</v>
      </c>
      <c r="S690" s="63">
        <f>+Q690+R690</f>
        <v>217.48</v>
      </c>
    </row>
    <row r="691" spans="1:19" x14ac:dyDescent="0.25">
      <c r="A691" s="116" t="s">
        <v>2459</v>
      </c>
      <c r="B691" s="116" t="s">
        <v>2460</v>
      </c>
      <c r="C691" s="117">
        <v>442</v>
      </c>
      <c r="D691" s="91" t="s">
        <v>3118</v>
      </c>
      <c r="E691" s="91" t="s">
        <v>19</v>
      </c>
      <c r="F691" s="121">
        <v>41570</v>
      </c>
      <c r="G691" s="118">
        <v>207.36</v>
      </c>
      <c r="H691" s="72"/>
      <c r="I691" s="72"/>
      <c r="J691" s="72"/>
      <c r="K691" s="72"/>
      <c r="L691" s="72"/>
      <c r="M691" s="72"/>
      <c r="N691" s="72"/>
      <c r="O691" s="72"/>
      <c r="P691" s="72"/>
      <c r="Q691" s="63">
        <f>+G691+I691+K691+M691+O691</f>
        <v>207.36</v>
      </c>
      <c r="R691" s="72">
        <f>+H691+J691+L691+N691+P691</f>
        <v>0</v>
      </c>
      <c r="S691" s="63">
        <f>+Q691+R691</f>
        <v>207.36</v>
      </c>
    </row>
    <row r="692" spans="1:19" x14ac:dyDescent="0.25">
      <c r="A692" s="116" t="s">
        <v>2462</v>
      </c>
      <c r="B692" s="116" t="s">
        <v>2463</v>
      </c>
      <c r="C692" s="117">
        <v>443</v>
      </c>
      <c r="D692" s="91" t="s">
        <v>2464</v>
      </c>
      <c r="E692" s="91" t="s">
        <v>19</v>
      </c>
      <c r="F692" s="121">
        <v>41571</v>
      </c>
      <c r="G692" s="118">
        <v>144</v>
      </c>
      <c r="H692" s="72"/>
      <c r="I692" s="72"/>
      <c r="J692" s="72"/>
      <c r="K692" s="72"/>
      <c r="L692" s="72"/>
      <c r="M692" s="72"/>
      <c r="N692" s="72"/>
      <c r="O692" s="72"/>
      <c r="P692" s="72"/>
      <c r="Q692" s="63">
        <f t="shared" si="54"/>
        <v>144</v>
      </c>
      <c r="R692" s="72">
        <f t="shared" si="54"/>
        <v>0</v>
      </c>
      <c r="S692" s="63">
        <f t="shared" si="55"/>
        <v>144</v>
      </c>
    </row>
    <row r="693" spans="1:19" x14ac:dyDescent="0.25">
      <c r="A693" s="116" t="s">
        <v>2462</v>
      </c>
      <c r="B693" s="116" t="s">
        <v>2463</v>
      </c>
      <c r="C693" s="117">
        <v>443</v>
      </c>
      <c r="D693" s="91" t="s">
        <v>2465</v>
      </c>
      <c r="E693" s="91" t="s">
        <v>19</v>
      </c>
      <c r="F693" s="121">
        <v>41571</v>
      </c>
      <c r="G693" s="118">
        <v>285.60000000000002</v>
      </c>
      <c r="H693" s="72"/>
      <c r="I693" s="72"/>
      <c r="J693" s="72"/>
      <c r="K693" s="72"/>
      <c r="L693" s="72"/>
      <c r="M693" s="72"/>
      <c r="N693" s="72"/>
      <c r="O693" s="72"/>
      <c r="P693" s="72"/>
      <c r="Q693" s="63">
        <f t="shared" si="54"/>
        <v>285.60000000000002</v>
      </c>
      <c r="R693" s="72">
        <f t="shared" si="54"/>
        <v>0</v>
      </c>
      <c r="S693" s="63">
        <f t="shared" si="55"/>
        <v>285.60000000000002</v>
      </c>
    </row>
    <row r="694" spans="1:19" x14ac:dyDescent="0.25">
      <c r="A694" s="116" t="s">
        <v>2466</v>
      </c>
      <c r="B694" s="116" t="s">
        <v>2467</v>
      </c>
      <c r="C694" s="117">
        <v>444</v>
      </c>
      <c r="D694" s="91" t="s">
        <v>2468</v>
      </c>
      <c r="E694" s="91" t="s">
        <v>19</v>
      </c>
      <c r="F694" s="121">
        <v>41597</v>
      </c>
      <c r="G694" s="118">
        <v>249.71</v>
      </c>
      <c r="H694" s="72"/>
      <c r="I694" s="72"/>
      <c r="J694" s="72"/>
      <c r="K694" s="72"/>
      <c r="L694" s="72"/>
      <c r="M694" s="72"/>
      <c r="N694" s="72"/>
      <c r="O694" s="72"/>
      <c r="P694" s="72"/>
      <c r="Q694" s="63">
        <f t="shared" si="54"/>
        <v>249.71</v>
      </c>
      <c r="R694" s="72">
        <f t="shared" si="54"/>
        <v>0</v>
      </c>
      <c r="S694" s="63">
        <f t="shared" si="55"/>
        <v>249.71</v>
      </c>
    </row>
    <row r="695" spans="1:19" x14ac:dyDescent="0.25">
      <c r="A695" s="116" t="s">
        <v>2469</v>
      </c>
      <c r="B695" s="116" t="s">
        <v>2470</v>
      </c>
      <c r="C695" s="117">
        <v>445</v>
      </c>
      <c r="D695" s="91" t="s">
        <v>2471</v>
      </c>
      <c r="E695" s="91" t="s">
        <v>19</v>
      </c>
      <c r="F695" s="121">
        <v>41717</v>
      </c>
      <c r="G695" s="118">
        <v>109.2</v>
      </c>
      <c r="H695" s="72"/>
      <c r="I695" s="72"/>
      <c r="J695" s="72"/>
      <c r="K695" s="72"/>
      <c r="L695" s="72"/>
      <c r="M695" s="72"/>
      <c r="N695" s="72"/>
      <c r="O695" s="72"/>
      <c r="P695" s="72"/>
      <c r="Q695" s="63">
        <f t="shared" si="54"/>
        <v>109.2</v>
      </c>
      <c r="R695" s="72">
        <f t="shared" si="54"/>
        <v>0</v>
      </c>
      <c r="S695" s="63">
        <f t="shared" si="55"/>
        <v>109.2</v>
      </c>
    </row>
    <row r="696" spans="1:19" x14ac:dyDescent="0.25">
      <c r="A696" s="116" t="s">
        <v>2469</v>
      </c>
      <c r="B696" s="116" t="s">
        <v>2470</v>
      </c>
      <c r="C696" s="117">
        <v>445</v>
      </c>
      <c r="D696" s="91" t="s">
        <v>2472</v>
      </c>
      <c r="E696" s="91" t="s">
        <v>19</v>
      </c>
      <c r="F696" s="121">
        <v>41717</v>
      </c>
      <c r="G696" s="118">
        <v>49.5</v>
      </c>
      <c r="H696" s="72"/>
      <c r="I696" s="72"/>
      <c r="J696" s="72"/>
      <c r="K696" s="72"/>
      <c r="L696" s="72"/>
      <c r="M696" s="72"/>
      <c r="N696" s="72"/>
      <c r="O696" s="72"/>
      <c r="P696" s="72"/>
      <c r="Q696" s="63">
        <f t="shared" si="54"/>
        <v>49.5</v>
      </c>
      <c r="R696" s="72">
        <f t="shared" si="54"/>
        <v>0</v>
      </c>
      <c r="S696" s="63">
        <f t="shared" si="55"/>
        <v>49.5</v>
      </c>
    </row>
    <row r="697" spans="1:19" x14ac:dyDescent="0.25">
      <c r="A697" s="116" t="s">
        <v>2469</v>
      </c>
      <c r="B697" s="116" t="s">
        <v>2470</v>
      </c>
      <c r="C697" s="117">
        <v>445</v>
      </c>
      <c r="D697" s="91" t="s">
        <v>2473</v>
      </c>
      <c r="E697" s="91" t="s">
        <v>19</v>
      </c>
      <c r="F697" s="121">
        <v>41717</v>
      </c>
      <c r="G697" s="118">
        <v>176.5</v>
      </c>
      <c r="H697" s="72"/>
      <c r="I697" s="72"/>
      <c r="J697" s="72"/>
      <c r="K697" s="72"/>
      <c r="L697" s="72"/>
      <c r="M697" s="72"/>
      <c r="N697" s="72"/>
      <c r="O697" s="72"/>
      <c r="P697" s="72"/>
      <c r="Q697" s="63">
        <f t="shared" si="54"/>
        <v>176.5</v>
      </c>
      <c r="R697" s="72">
        <f t="shared" si="54"/>
        <v>0</v>
      </c>
      <c r="S697" s="63">
        <f t="shared" si="55"/>
        <v>176.5</v>
      </c>
    </row>
    <row r="698" spans="1:19" x14ac:dyDescent="0.25">
      <c r="A698" s="116" t="s">
        <v>2474</v>
      </c>
      <c r="B698" s="116" t="s">
        <v>2475</v>
      </c>
      <c r="C698" s="117">
        <v>446</v>
      </c>
      <c r="D698" s="91" t="s">
        <v>2476</v>
      </c>
      <c r="E698" s="91" t="s">
        <v>19</v>
      </c>
      <c r="F698" s="121">
        <v>41586</v>
      </c>
      <c r="G698" s="118">
        <v>11958.59</v>
      </c>
      <c r="H698" s="72"/>
      <c r="I698" s="72"/>
      <c r="J698" s="72"/>
      <c r="K698" s="72"/>
      <c r="L698" s="72"/>
      <c r="M698" s="72"/>
      <c r="N698" s="72"/>
      <c r="O698" s="72"/>
      <c r="P698" s="72"/>
      <c r="Q698" s="63">
        <f t="shared" si="54"/>
        <v>11958.59</v>
      </c>
      <c r="R698" s="72">
        <f t="shared" si="54"/>
        <v>0</v>
      </c>
      <c r="S698" s="63">
        <f t="shared" si="55"/>
        <v>11958.59</v>
      </c>
    </row>
    <row r="699" spans="1:19" x14ac:dyDescent="0.25">
      <c r="A699" s="116" t="s">
        <v>2477</v>
      </c>
      <c r="B699" s="116" t="s">
        <v>2478</v>
      </c>
      <c r="C699" s="117">
        <v>447</v>
      </c>
      <c r="D699" s="91" t="s">
        <v>2479</v>
      </c>
      <c r="E699" s="91" t="s">
        <v>19</v>
      </c>
      <c r="F699" s="121">
        <v>41584</v>
      </c>
      <c r="G699" s="118">
        <f>190.58+422.84+118.44+41.3+153.83+110.2+84.14+223.58</f>
        <v>1344.9099999999999</v>
      </c>
      <c r="H699" s="72"/>
      <c r="I699" s="72"/>
      <c r="J699" s="72"/>
      <c r="K699" s="72"/>
      <c r="L699" s="72"/>
      <c r="M699" s="72"/>
      <c r="N699" s="72"/>
      <c r="O699" s="72"/>
      <c r="P699" s="72"/>
      <c r="Q699" s="63">
        <f t="shared" si="54"/>
        <v>1344.9099999999999</v>
      </c>
      <c r="R699" s="72">
        <f t="shared" si="54"/>
        <v>0</v>
      </c>
      <c r="S699" s="63">
        <f t="shared" si="55"/>
        <v>1344.9099999999999</v>
      </c>
    </row>
    <row r="700" spans="1:19" x14ac:dyDescent="0.25">
      <c r="A700" s="116" t="s">
        <v>2480</v>
      </c>
      <c r="B700" s="116" t="s">
        <v>2481</v>
      </c>
      <c r="C700" s="117">
        <v>448</v>
      </c>
      <c r="D700" s="91" t="s">
        <v>2482</v>
      </c>
      <c r="E700" s="91" t="s">
        <v>19</v>
      </c>
      <c r="F700" s="121">
        <v>41587</v>
      </c>
      <c r="G700" s="118">
        <f>78.15+47.2</f>
        <v>125.35000000000001</v>
      </c>
      <c r="H700" s="72"/>
      <c r="I700" s="72"/>
      <c r="J700" s="72"/>
      <c r="K700" s="72"/>
      <c r="L700" s="72"/>
      <c r="M700" s="72"/>
      <c r="N700" s="72"/>
      <c r="O700" s="72"/>
      <c r="P700" s="72"/>
      <c r="Q700" s="63">
        <f t="shared" si="54"/>
        <v>125.35000000000001</v>
      </c>
      <c r="R700" s="72">
        <f t="shared" si="54"/>
        <v>0</v>
      </c>
      <c r="S700" s="63">
        <f t="shared" si="55"/>
        <v>125.35000000000001</v>
      </c>
    </row>
    <row r="701" spans="1:19" x14ac:dyDescent="0.25">
      <c r="A701" s="116" t="s">
        <v>2483</v>
      </c>
      <c r="B701" s="116" t="s">
        <v>2484</v>
      </c>
      <c r="C701" s="117">
        <v>449</v>
      </c>
      <c r="D701" s="91" t="s">
        <v>2485</v>
      </c>
      <c r="E701" s="91" t="s">
        <v>19</v>
      </c>
      <c r="F701" s="121">
        <v>41558</v>
      </c>
      <c r="G701" s="118">
        <v>584.41999999999996</v>
      </c>
      <c r="H701" s="72"/>
      <c r="I701" s="72"/>
      <c r="J701" s="72"/>
      <c r="K701" s="72"/>
      <c r="L701" s="72"/>
      <c r="M701" s="72"/>
      <c r="N701" s="72"/>
      <c r="O701" s="72"/>
      <c r="P701" s="72"/>
      <c r="Q701" s="63">
        <f t="shared" si="54"/>
        <v>584.41999999999996</v>
      </c>
      <c r="R701" s="72">
        <f t="shared" si="54"/>
        <v>0</v>
      </c>
      <c r="S701" s="63">
        <f t="shared" si="55"/>
        <v>584.41999999999996</v>
      </c>
    </row>
    <row r="702" spans="1:19" x14ac:dyDescent="0.25">
      <c r="A702" s="116" t="s">
        <v>2483</v>
      </c>
      <c r="B702" s="116" t="s">
        <v>2484</v>
      </c>
      <c r="C702" s="117">
        <v>449</v>
      </c>
      <c r="D702" s="91" t="s">
        <v>2486</v>
      </c>
      <c r="E702" s="91" t="s">
        <v>19</v>
      </c>
      <c r="F702" s="121">
        <v>41558</v>
      </c>
      <c r="G702" s="118">
        <v>146.86000000000001</v>
      </c>
      <c r="H702" s="72"/>
      <c r="I702" s="72"/>
      <c r="J702" s="72"/>
      <c r="K702" s="72"/>
      <c r="L702" s="72"/>
      <c r="M702" s="72"/>
      <c r="N702" s="72"/>
      <c r="O702" s="72"/>
      <c r="P702" s="72"/>
      <c r="Q702" s="63">
        <f t="shared" si="54"/>
        <v>146.86000000000001</v>
      </c>
      <c r="R702" s="72">
        <f t="shared" si="54"/>
        <v>0</v>
      </c>
      <c r="S702" s="63">
        <f t="shared" si="55"/>
        <v>146.86000000000001</v>
      </c>
    </row>
    <row r="703" spans="1:19" x14ac:dyDescent="0.25">
      <c r="A703" s="116" t="s">
        <v>2487</v>
      </c>
      <c r="B703" s="116" t="s">
        <v>2488</v>
      </c>
      <c r="C703" s="117">
        <v>450</v>
      </c>
      <c r="D703" s="91" t="s">
        <v>2489</v>
      </c>
      <c r="E703" s="91" t="s">
        <v>19</v>
      </c>
      <c r="F703" s="121">
        <v>41558</v>
      </c>
      <c r="G703" s="118">
        <v>179.18</v>
      </c>
      <c r="H703" s="72"/>
      <c r="I703" s="72"/>
      <c r="J703" s="72"/>
      <c r="K703" s="72"/>
      <c r="L703" s="72"/>
      <c r="M703" s="72"/>
      <c r="N703" s="72"/>
      <c r="O703" s="72"/>
      <c r="P703" s="72"/>
      <c r="Q703" s="63">
        <f t="shared" si="54"/>
        <v>179.18</v>
      </c>
      <c r="R703" s="72">
        <f t="shared" si="54"/>
        <v>0</v>
      </c>
      <c r="S703" s="63">
        <f t="shared" si="55"/>
        <v>179.18</v>
      </c>
    </row>
    <row r="704" spans="1:19" x14ac:dyDescent="0.25">
      <c r="A704" s="116" t="s">
        <v>2487</v>
      </c>
      <c r="B704" s="116" t="s">
        <v>2488</v>
      </c>
      <c r="C704" s="117">
        <v>450</v>
      </c>
      <c r="D704" s="91" t="s">
        <v>2490</v>
      </c>
      <c r="E704" s="91" t="s">
        <v>19</v>
      </c>
      <c r="F704" s="121">
        <v>41558</v>
      </c>
      <c r="G704" s="118">
        <v>172.15</v>
      </c>
      <c r="H704" s="72"/>
      <c r="I704" s="72"/>
      <c r="J704" s="72"/>
      <c r="K704" s="72"/>
      <c r="L704" s="72"/>
      <c r="M704" s="72"/>
      <c r="N704" s="72"/>
      <c r="O704" s="72"/>
      <c r="P704" s="72"/>
      <c r="Q704" s="63">
        <f t="shared" si="54"/>
        <v>172.15</v>
      </c>
      <c r="R704" s="72">
        <f t="shared" si="54"/>
        <v>0</v>
      </c>
      <c r="S704" s="63">
        <f t="shared" si="55"/>
        <v>172.15</v>
      </c>
    </row>
    <row r="705" spans="1:19" x14ac:dyDescent="0.25">
      <c r="A705" s="116" t="s">
        <v>2487</v>
      </c>
      <c r="B705" s="116" t="s">
        <v>2488</v>
      </c>
      <c r="C705" s="117">
        <v>450</v>
      </c>
      <c r="D705" s="91" t="s">
        <v>2491</v>
      </c>
      <c r="E705" s="91" t="s">
        <v>19</v>
      </c>
      <c r="F705" s="121">
        <v>41558</v>
      </c>
      <c r="G705" s="118">
        <v>178.29</v>
      </c>
      <c r="H705" s="72"/>
      <c r="I705" s="72"/>
      <c r="J705" s="72"/>
      <c r="K705" s="72"/>
      <c r="L705" s="72"/>
      <c r="M705" s="72"/>
      <c r="N705" s="72"/>
      <c r="O705" s="72"/>
      <c r="P705" s="72"/>
      <c r="Q705" s="63">
        <f t="shared" si="54"/>
        <v>178.29</v>
      </c>
      <c r="R705" s="72">
        <f t="shared" si="54"/>
        <v>0</v>
      </c>
      <c r="S705" s="63">
        <f t="shared" si="55"/>
        <v>178.29</v>
      </c>
    </row>
    <row r="706" spans="1:19" x14ac:dyDescent="0.25">
      <c r="A706" s="116" t="s">
        <v>2492</v>
      </c>
      <c r="B706" s="116" t="s">
        <v>2493</v>
      </c>
      <c r="C706" s="117">
        <v>451</v>
      </c>
      <c r="D706" s="91" t="s">
        <v>2494</v>
      </c>
      <c r="E706" s="91" t="s">
        <v>19</v>
      </c>
      <c r="F706" s="121">
        <v>41558</v>
      </c>
      <c r="G706" s="118">
        <v>162.31</v>
      </c>
      <c r="H706" s="72"/>
      <c r="I706" s="72"/>
      <c r="J706" s="72"/>
      <c r="K706" s="72"/>
      <c r="L706" s="72"/>
      <c r="M706" s="72"/>
      <c r="N706" s="72"/>
      <c r="O706" s="72"/>
      <c r="P706" s="72"/>
      <c r="Q706" s="63">
        <f t="shared" si="54"/>
        <v>162.31</v>
      </c>
      <c r="R706" s="72">
        <f t="shared" si="54"/>
        <v>0</v>
      </c>
      <c r="S706" s="63">
        <f t="shared" si="55"/>
        <v>162.31</v>
      </c>
    </row>
    <row r="707" spans="1:19" x14ac:dyDescent="0.25">
      <c r="A707" s="116" t="s">
        <v>2492</v>
      </c>
      <c r="B707" s="116" t="s">
        <v>2493</v>
      </c>
      <c r="C707" s="117">
        <v>451</v>
      </c>
      <c r="D707" s="91" t="s">
        <v>2495</v>
      </c>
      <c r="E707" s="91" t="s">
        <v>19</v>
      </c>
      <c r="F707" s="121">
        <v>41558</v>
      </c>
      <c r="G707" s="118">
        <v>125.41</v>
      </c>
      <c r="H707" s="72"/>
      <c r="I707" s="72"/>
      <c r="J707" s="72"/>
      <c r="K707" s="72"/>
      <c r="L707" s="72"/>
      <c r="M707" s="72"/>
      <c r="N707" s="72"/>
      <c r="O707" s="72"/>
      <c r="P707" s="72"/>
      <c r="Q707" s="63">
        <f t="shared" si="54"/>
        <v>125.41</v>
      </c>
      <c r="R707" s="72">
        <f t="shared" si="54"/>
        <v>0</v>
      </c>
      <c r="S707" s="63">
        <f t="shared" si="55"/>
        <v>125.41</v>
      </c>
    </row>
    <row r="708" spans="1:19" x14ac:dyDescent="0.25">
      <c r="A708" s="116" t="s">
        <v>2492</v>
      </c>
      <c r="B708" s="116" t="s">
        <v>2493</v>
      </c>
      <c r="C708" s="117">
        <v>451</v>
      </c>
      <c r="D708" s="91" t="s">
        <v>2496</v>
      </c>
      <c r="E708" s="91" t="s">
        <v>19</v>
      </c>
      <c r="F708" s="121">
        <v>41558</v>
      </c>
      <c r="G708" s="118">
        <f>47.2+118.78+118</f>
        <v>283.98</v>
      </c>
      <c r="H708" s="72"/>
      <c r="I708" s="72"/>
      <c r="J708" s="72"/>
      <c r="K708" s="72"/>
      <c r="L708" s="72"/>
      <c r="M708" s="72"/>
      <c r="N708" s="72"/>
      <c r="O708" s="72"/>
      <c r="P708" s="72"/>
      <c r="Q708" s="63">
        <f t="shared" si="54"/>
        <v>283.98</v>
      </c>
      <c r="R708" s="72">
        <f t="shared" si="54"/>
        <v>0</v>
      </c>
      <c r="S708" s="63">
        <f t="shared" si="55"/>
        <v>283.98</v>
      </c>
    </row>
    <row r="709" spans="1:19" x14ac:dyDescent="0.25">
      <c r="A709" s="116" t="s">
        <v>2497</v>
      </c>
      <c r="B709" s="116" t="s">
        <v>2498</v>
      </c>
      <c r="C709" s="117">
        <v>452</v>
      </c>
      <c r="D709" s="91" t="s">
        <v>2499</v>
      </c>
      <c r="E709" s="91" t="s">
        <v>19</v>
      </c>
      <c r="F709" s="121">
        <v>41558</v>
      </c>
      <c r="G709" s="118">
        <v>166.37</v>
      </c>
      <c r="H709" s="72"/>
      <c r="I709" s="72"/>
      <c r="J709" s="72"/>
      <c r="K709" s="72"/>
      <c r="L709" s="72"/>
      <c r="M709" s="72"/>
      <c r="N709" s="72"/>
      <c r="O709" s="72"/>
      <c r="P709" s="72"/>
      <c r="Q709" s="63">
        <f t="shared" si="54"/>
        <v>166.37</v>
      </c>
      <c r="R709" s="72">
        <f t="shared" si="54"/>
        <v>0</v>
      </c>
      <c r="S709" s="63">
        <f t="shared" si="55"/>
        <v>166.37</v>
      </c>
    </row>
    <row r="710" spans="1:19" x14ac:dyDescent="0.25">
      <c r="A710" s="116" t="s">
        <v>2497</v>
      </c>
      <c r="B710" s="116" t="s">
        <v>2498</v>
      </c>
      <c r="C710" s="117">
        <v>452</v>
      </c>
      <c r="D710" s="91" t="s">
        <v>2500</v>
      </c>
      <c r="E710" s="91" t="s">
        <v>19</v>
      </c>
      <c r="F710" s="121">
        <v>41558</v>
      </c>
      <c r="G710" s="118">
        <v>122.97</v>
      </c>
      <c r="H710" s="72"/>
      <c r="I710" s="72"/>
      <c r="J710" s="72"/>
      <c r="K710" s="72"/>
      <c r="L710" s="72"/>
      <c r="M710" s="72"/>
      <c r="N710" s="72"/>
      <c r="O710" s="72"/>
      <c r="P710" s="72"/>
      <c r="Q710" s="63">
        <f t="shared" si="54"/>
        <v>122.97</v>
      </c>
      <c r="R710" s="72">
        <f t="shared" si="54"/>
        <v>0</v>
      </c>
      <c r="S710" s="63">
        <f t="shared" si="55"/>
        <v>122.97</v>
      </c>
    </row>
    <row r="711" spans="1:19" x14ac:dyDescent="0.25">
      <c r="A711" s="116" t="s">
        <v>2497</v>
      </c>
      <c r="B711" s="116" t="s">
        <v>2498</v>
      </c>
      <c r="C711" s="117">
        <v>452</v>
      </c>
      <c r="D711" s="91" t="s">
        <v>2501</v>
      </c>
      <c r="E711" s="91" t="s">
        <v>19</v>
      </c>
      <c r="F711" s="121">
        <v>41558</v>
      </c>
      <c r="G711" s="118">
        <v>155.5</v>
      </c>
      <c r="H711" s="72"/>
      <c r="I711" s="72"/>
      <c r="J711" s="72"/>
      <c r="K711" s="72"/>
      <c r="L711" s="72"/>
      <c r="M711" s="72"/>
      <c r="N711" s="72"/>
      <c r="O711" s="72"/>
      <c r="P711" s="72"/>
      <c r="Q711" s="63">
        <f t="shared" si="54"/>
        <v>155.5</v>
      </c>
      <c r="R711" s="72">
        <f t="shared" si="54"/>
        <v>0</v>
      </c>
      <c r="S711" s="63">
        <f t="shared" si="55"/>
        <v>155.5</v>
      </c>
    </row>
    <row r="712" spans="1:19" x14ac:dyDescent="0.25">
      <c r="A712" s="116" t="s">
        <v>2502</v>
      </c>
      <c r="B712" s="116" t="s">
        <v>2503</v>
      </c>
      <c r="C712" s="117">
        <v>453</v>
      </c>
      <c r="D712" s="91" t="s">
        <v>2504</v>
      </c>
      <c r="E712" s="91" t="s">
        <v>19</v>
      </c>
      <c r="F712" s="121">
        <v>41558</v>
      </c>
      <c r="G712" s="118">
        <v>145.6</v>
      </c>
      <c r="H712" s="72"/>
      <c r="I712" s="72"/>
      <c r="J712" s="72"/>
      <c r="K712" s="72"/>
      <c r="L712" s="72"/>
      <c r="M712" s="72"/>
      <c r="N712" s="72"/>
      <c r="O712" s="72"/>
      <c r="P712" s="72"/>
      <c r="Q712" s="63">
        <f t="shared" si="54"/>
        <v>145.6</v>
      </c>
      <c r="R712" s="72">
        <f t="shared" si="54"/>
        <v>0</v>
      </c>
      <c r="S712" s="63">
        <f t="shared" si="55"/>
        <v>145.6</v>
      </c>
    </row>
    <row r="713" spans="1:19" x14ac:dyDescent="0.25">
      <c r="A713" s="116" t="s">
        <v>2502</v>
      </c>
      <c r="B713" s="116" t="s">
        <v>2503</v>
      </c>
      <c r="C713" s="117">
        <v>453</v>
      </c>
      <c r="D713" s="91" t="s">
        <v>2505</v>
      </c>
      <c r="E713" s="91" t="s">
        <v>19</v>
      </c>
      <c r="F713" s="121">
        <v>41558</v>
      </c>
      <c r="G713" s="118">
        <v>118.68</v>
      </c>
      <c r="H713" s="72"/>
      <c r="I713" s="72"/>
      <c r="J713" s="72"/>
      <c r="K713" s="72"/>
      <c r="L713" s="72"/>
      <c r="M713" s="72"/>
      <c r="N713" s="72"/>
      <c r="O713" s="72"/>
      <c r="P713" s="72"/>
      <c r="Q713" s="63">
        <f t="shared" si="54"/>
        <v>118.68</v>
      </c>
      <c r="R713" s="72">
        <f t="shared" si="54"/>
        <v>0</v>
      </c>
      <c r="S713" s="63">
        <f t="shared" si="55"/>
        <v>118.68</v>
      </c>
    </row>
    <row r="714" spans="1:19" x14ac:dyDescent="0.25">
      <c r="A714" s="116" t="s">
        <v>2506</v>
      </c>
      <c r="B714" s="116" t="s">
        <v>2507</v>
      </c>
      <c r="C714" s="117">
        <v>454</v>
      </c>
      <c r="D714" s="91" t="s">
        <v>2508</v>
      </c>
      <c r="E714" s="91" t="s">
        <v>19</v>
      </c>
      <c r="F714" s="121">
        <v>41585</v>
      </c>
      <c r="G714" s="118">
        <f>238+238+36+1224.5</f>
        <v>1736.5</v>
      </c>
      <c r="H714" s="72"/>
      <c r="I714" s="120">
        <v>375</v>
      </c>
      <c r="J714" s="72"/>
      <c r="K714" s="72"/>
      <c r="L714" s="72"/>
      <c r="M714" s="72"/>
      <c r="N714" s="72"/>
      <c r="O714" s="72"/>
      <c r="P714" s="72"/>
      <c r="Q714" s="63">
        <f t="shared" si="54"/>
        <v>2111.5</v>
      </c>
      <c r="R714" s="72">
        <f t="shared" si="54"/>
        <v>0</v>
      </c>
      <c r="S714" s="63">
        <f t="shared" si="55"/>
        <v>2111.5</v>
      </c>
    </row>
    <row r="715" spans="1:19" x14ac:dyDescent="0.25">
      <c r="A715" s="116" t="s">
        <v>2509</v>
      </c>
      <c r="B715" s="116" t="s">
        <v>2510</v>
      </c>
      <c r="C715" s="117">
        <v>455</v>
      </c>
      <c r="D715" s="91" t="s">
        <v>2511</v>
      </c>
      <c r="E715" s="91" t="s">
        <v>19</v>
      </c>
      <c r="F715" s="121">
        <v>41611</v>
      </c>
      <c r="G715" s="118">
        <f>195+55</f>
        <v>250</v>
      </c>
      <c r="H715" s="72"/>
      <c r="I715" s="72"/>
      <c r="J715" s="72"/>
      <c r="K715" s="72"/>
      <c r="L715" s="72"/>
      <c r="M715" s="72"/>
      <c r="N715" s="72"/>
      <c r="O715" s="72"/>
      <c r="P715" s="72"/>
      <c r="Q715" s="63">
        <f t="shared" si="54"/>
        <v>250</v>
      </c>
      <c r="R715" s="72">
        <f t="shared" si="54"/>
        <v>0</v>
      </c>
      <c r="S715" s="63">
        <f t="shared" si="55"/>
        <v>250</v>
      </c>
    </row>
    <row r="716" spans="1:19" x14ac:dyDescent="0.25">
      <c r="A716" s="116" t="s">
        <v>2512</v>
      </c>
      <c r="B716" s="116" t="s">
        <v>2513</v>
      </c>
      <c r="C716" s="117">
        <v>456</v>
      </c>
      <c r="D716" s="91" t="s">
        <v>2514</v>
      </c>
      <c r="E716" s="91" t="s">
        <v>19</v>
      </c>
      <c r="F716" s="121">
        <v>41626</v>
      </c>
      <c r="G716" s="118">
        <v>1505.85</v>
      </c>
      <c r="H716" s="72"/>
      <c r="I716" s="72"/>
      <c r="J716" s="72"/>
      <c r="K716" s="72"/>
      <c r="L716" s="72"/>
      <c r="M716" s="72"/>
      <c r="N716" s="72"/>
      <c r="O716" s="72"/>
      <c r="P716" s="72"/>
      <c r="Q716" s="63">
        <f t="shared" si="54"/>
        <v>1505.85</v>
      </c>
      <c r="R716" s="72">
        <f t="shared" si="54"/>
        <v>0</v>
      </c>
      <c r="S716" s="63">
        <f t="shared" si="55"/>
        <v>1505.85</v>
      </c>
    </row>
    <row r="717" spans="1:19" x14ac:dyDescent="0.25">
      <c r="A717" s="116" t="s">
        <v>2515</v>
      </c>
      <c r="B717" s="116" t="s">
        <v>2516</v>
      </c>
      <c r="C717" s="117">
        <v>457</v>
      </c>
      <c r="D717" s="91" t="s">
        <v>2517</v>
      </c>
      <c r="E717" s="91" t="s">
        <v>19</v>
      </c>
      <c r="F717" s="121">
        <v>41585</v>
      </c>
      <c r="G717" s="118">
        <f>15.4+47.2+64.9+241.9+436.6+64.9+436.6+185.2</f>
        <v>1492.7</v>
      </c>
      <c r="H717" s="72"/>
      <c r="I717" s="120">
        <f>1125</f>
        <v>1125</v>
      </c>
      <c r="J717" s="72"/>
      <c r="K717" s="72"/>
      <c r="L717" s="72"/>
      <c r="M717" s="72"/>
      <c r="N717" s="72"/>
      <c r="O717" s="72"/>
      <c r="P717" s="72"/>
      <c r="Q717" s="63">
        <f t="shared" si="54"/>
        <v>2617.6999999999998</v>
      </c>
      <c r="R717" s="72">
        <f t="shared" si="54"/>
        <v>0</v>
      </c>
      <c r="S717" s="63">
        <f t="shared" si="55"/>
        <v>2617.6999999999998</v>
      </c>
    </row>
    <row r="718" spans="1:19" x14ac:dyDescent="0.25">
      <c r="A718" s="116" t="s">
        <v>2518</v>
      </c>
      <c r="B718" s="116" t="s">
        <v>2519</v>
      </c>
      <c r="C718" s="117">
        <v>458</v>
      </c>
      <c r="D718" s="91" t="s">
        <v>2520</v>
      </c>
      <c r="E718" s="91" t="s">
        <v>19</v>
      </c>
      <c r="F718" s="121">
        <v>41712</v>
      </c>
      <c r="G718" s="118">
        <v>116.82</v>
      </c>
      <c r="H718" s="72"/>
      <c r="I718" s="73"/>
      <c r="J718" s="72"/>
      <c r="K718" s="72"/>
      <c r="L718" s="72"/>
      <c r="M718" s="72"/>
      <c r="N718" s="72"/>
      <c r="O718" s="72"/>
      <c r="P718" s="72"/>
      <c r="Q718" s="63">
        <f t="shared" si="54"/>
        <v>116.82</v>
      </c>
      <c r="R718" s="72">
        <f t="shared" si="54"/>
        <v>0</v>
      </c>
      <c r="S718" s="63">
        <f t="shared" si="55"/>
        <v>116.82</v>
      </c>
    </row>
    <row r="719" spans="1:19" x14ac:dyDescent="0.25">
      <c r="A719" s="116" t="s">
        <v>2521</v>
      </c>
      <c r="B719" s="116" t="s">
        <v>2522</v>
      </c>
      <c r="C719" s="117">
        <v>459</v>
      </c>
      <c r="D719" s="91" t="s">
        <v>2523</v>
      </c>
      <c r="E719" s="91" t="s">
        <v>19</v>
      </c>
      <c r="F719" s="121">
        <v>41592</v>
      </c>
      <c r="G719" s="118">
        <f>6479.26+152.84+78.75+50.08+41.3+691.45+41.3+41.3+41.3+301.5+261</f>
        <v>8180.0800000000008</v>
      </c>
      <c r="H719" s="72"/>
      <c r="I719" s="120">
        <f>700+750+750+750</f>
        <v>2950</v>
      </c>
      <c r="J719" s="72"/>
      <c r="K719" s="72"/>
      <c r="L719" s="72"/>
      <c r="M719" s="72"/>
      <c r="N719" s="72"/>
      <c r="O719" s="72"/>
      <c r="P719" s="72"/>
      <c r="Q719" s="63">
        <f t="shared" si="54"/>
        <v>11130.080000000002</v>
      </c>
      <c r="R719" s="72">
        <f t="shared" si="54"/>
        <v>0</v>
      </c>
      <c r="S719" s="63">
        <f t="shared" si="55"/>
        <v>11130.080000000002</v>
      </c>
    </row>
    <row r="720" spans="1:19" x14ac:dyDescent="0.25">
      <c r="A720" s="116" t="s">
        <v>2524</v>
      </c>
      <c r="B720" s="116" t="s">
        <v>2525</v>
      </c>
      <c r="C720" s="117">
        <v>460</v>
      </c>
      <c r="D720" s="91" t="s">
        <v>2526</v>
      </c>
      <c r="E720" s="91" t="s">
        <v>19</v>
      </c>
      <c r="F720" s="121">
        <v>41589</v>
      </c>
      <c r="G720" s="118">
        <f>178.48+303.39+41.3+180.41+436.6+436.6+64.9</f>
        <v>1641.6799999999998</v>
      </c>
      <c r="H720" s="72"/>
      <c r="I720" s="120">
        <f>1500</f>
        <v>1500</v>
      </c>
      <c r="J720" s="72"/>
      <c r="K720" s="72"/>
      <c r="L720" s="72"/>
      <c r="M720" s="72"/>
      <c r="N720" s="72"/>
      <c r="O720" s="72"/>
      <c r="P720" s="72"/>
      <c r="Q720" s="63">
        <f t="shared" si="54"/>
        <v>3141.68</v>
      </c>
      <c r="R720" s="72">
        <f t="shared" si="54"/>
        <v>0</v>
      </c>
      <c r="S720" s="63">
        <f t="shared" si="55"/>
        <v>3141.68</v>
      </c>
    </row>
    <row r="721" spans="1:19" x14ac:dyDescent="0.25">
      <c r="A721" s="116" t="s">
        <v>2527</v>
      </c>
      <c r="B721" s="116" t="s">
        <v>2528</v>
      </c>
      <c r="C721" s="117">
        <v>461</v>
      </c>
      <c r="D721" s="91" t="s">
        <v>2529</v>
      </c>
      <c r="E721" s="91" t="s">
        <v>19</v>
      </c>
      <c r="F721" s="121">
        <v>41558</v>
      </c>
      <c r="G721" s="118">
        <v>169.99</v>
      </c>
      <c r="H721" s="72"/>
      <c r="I721" s="73"/>
      <c r="J721" s="72"/>
      <c r="K721" s="72"/>
      <c r="L721" s="72"/>
      <c r="M721" s="72"/>
      <c r="N721" s="72"/>
      <c r="O721" s="72"/>
      <c r="P721" s="72"/>
      <c r="Q721" s="63">
        <f t="shared" ref="Q721:R784" si="56">+G721+I721+K721+M721+O721</f>
        <v>169.99</v>
      </c>
      <c r="R721" s="72">
        <f t="shared" si="56"/>
        <v>0</v>
      </c>
      <c r="S721" s="63">
        <f t="shared" ref="S721:S784" si="57">+Q721+R721</f>
        <v>169.99</v>
      </c>
    </row>
    <row r="722" spans="1:19" x14ac:dyDescent="0.25">
      <c r="A722" s="116" t="s">
        <v>1166</v>
      </c>
      <c r="B722" s="116" t="s">
        <v>1167</v>
      </c>
      <c r="C722" s="117">
        <v>462</v>
      </c>
      <c r="D722" s="91" t="s">
        <v>2530</v>
      </c>
      <c r="E722" s="91" t="s">
        <v>19</v>
      </c>
      <c r="F722" s="121">
        <v>41558</v>
      </c>
      <c r="G722" s="118">
        <v>477.99</v>
      </c>
      <c r="H722" s="72"/>
      <c r="I722" s="73"/>
      <c r="J722" s="72"/>
      <c r="K722" s="72"/>
      <c r="L722" s="72"/>
      <c r="M722" s="72"/>
      <c r="N722" s="72"/>
      <c r="O722" s="72"/>
      <c r="P722" s="72"/>
      <c r="Q722" s="63">
        <f t="shared" si="56"/>
        <v>477.99</v>
      </c>
      <c r="R722" s="72">
        <f t="shared" si="56"/>
        <v>0</v>
      </c>
      <c r="S722" s="63">
        <f t="shared" si="57"/>
        <v>477.99</v>
      </c>
    </row>
    <row r="723" spans="1:19" x14ac:dyDescent="0.25">
      <c r="A723" s="116" t="s">
        <v>2531</v>
      </c>
      <c r="B723" s="116" t="s">
        <v>2532</v>
      </c>
      <c r="C723" s="117">
        <v>463</v>
      </c>
      <c r="D723" s="91" t="s">
        <v>2533</v>
      </c>
      <c r="E723" s="91" t="s">
        <v>141</v>
      </c>
      <c r="F723" s="121">
        <v>41627</v>
      </c>
      <c r="G723" s="118">
        <f>280+68.8+257+26.5+173.74</f>
        <v>806.04</v>
      </c>
      <c r="H723" s="72"/>
      <c r="I723" s="120">
        <v>175</v>
      </c>
      <c r="J723" s="72"/>
      <c r="K723" s="72"/>
      <c r="L723" s="72"/>
      <c r="M723" s="72"/>
      <c r="N723" s="72"/>
      <c r="O723" s="72"/>
      <c r="P723" s="72"/>
      <c r="Q723" s="63">
        <f t="shared" si="56"/>
        <v>981.04</v>
      </c>
      <c r="R723" s="72">
        <f t="shared" si="56"/>
        <v>0</v>
      </c>
      <c r="S723" s="63">
        <f t="shared" si="57"/>
        <v>981.04</v>
      </c>
    </row>
    <row r="724" spans="1:19" x14ac:dyDescent="0.25">
      <c r="A724" s="116" t="s">
        <v>2534</v>
      </c>
      <c r="B724" s="116" t="s">
        <v>2535</v>
      </c>
      <c r="C724" s="117">
        <v>464</v>
      </c>
      <c r="D724" s="91" t="s">
        <v>2536</v>
      </c>
      <c r="E724" s="91" t="s">
        <v>19</v>
      </c>
      <c r="F724" s="121">
        <v>41587</v>
      </c>
      <c r="G724" s="118">
        <v>154.61000000000001</v>
      </c>
      <c r="H724" s="72"/>
      <c r="I724" s="73"/>
      <c r="J724" s="72"/>
      <c r="K724" s="72"/>
      <c r="L724" s="72"/>
      <c r="M724" s="72"/>
      <c r="N724" s="72"/>
      <c r="O724" s="72"/>
      <c r="P724" s="72"/>
      <c r="Q724" s="63">
        <f t="shared" si="56"/>
        <v>154.61000000000001</v>
      </c>
      <c r="R724" s="72">
        <f t="shared" si="56"/>
        <v>0</v>
      </c>
      <c r="S724" s="63">
        <f t="shared" si="57"/>
        <v>154.61000000000001</v>
      </c>
    </row>
    <row r="725" spans="1:19" x14ac:dyDescent="0.25">
      <c r="A725" s="116" t="s">
        <v>2521</v>
      </c>
      <c r="B725" s="116" t="s">
        <v>2522</v>
      </c>
      <c r="C725" s="117">
        <v>465</v>
      </c>
      <c r="D725" s="91" t="s">
        <v>2537</v>
      </c>
      <c r="E725" s="91" t="s">
        <v>19</v>
      </c>
      <c r="F725" s="121">
        <v>41587</v>
      </c>
      <c r="G725" s="118"/>
      <c r="H725" s="72"/>
      <c r="I725" s="73"/>
      <c r="J725" s="72"/>
      <c r="K725" s="72"/>
      <c r="L725" s="72"/>
      <c r="M725" s="72"/>
      <c r="N725" s="72"/>
      <c r="O725" s="72"/>
      <c r="P725" s="72"/>
      <c r="Q725" s="63">
        <f t="shared" si="56"/>
        <v>0</v>
      </c>
      <c r="R725" s="72">
        <f t="shared" si="56"/>
        <v>0</v>
      </c>
      <c r="S725" s="63">
        <f t="shared" si="57"/>
        <v>0</v>
      </c>
    </row>
    <row r="726" spans="1:19" x14ac:dyDescent="0.25">
      <c r="A726" s="116" t="s">
        <v>2538</v>
      </c>
      <c r="B726" s="116" t="s">
        <v>2539</v>
      </c>
      <c r="C726" s="117">
        <v>466</v>
      </c>
      <c r="D726" s="91" t="s">
        <v>2540</v>
      </c>
      <c r="E726" s="91" t="s">
        <v>19</v>
      </c>
      <c r="F726" s="121">
        <v>41587</v>
      </c>
      <c r="G726" s="118">
        <v>239.59</v>
      </c>
      <c r="H726" s="72"/>
      <c r="I726" s="120">
        <v>250</v>
      </c>
      <c r="J726" s="72"/>
      <c r="K726" s="72"/>
      <c r="L726" s="72"/>
      <c r="M726" s="72"/>
      <c r="N726" s="72"/>
      <c r="O726" s="72"/>
      <c r="P726" s="72"/>
      <c r="Q726" s="63">
        <f t="shared" si="56"/>
        <v>489.59000000000003</v>
      </c>
      <c r="R726" s="72">
        <f t="shared" si="56"/>
        <v>0</v>
      </c>
      <c r="S726" s="63">
        <f t="shared" si="57"/>
        <v>489.59000000000003</v>
      </c>
    </row>
    <row r="727" spans="1:19" x14ac:dyDescent="0.25">
      <c r="A727" s="116" t="s">
        <v>2541</v>
      </c>
      <c r="B727" s="116" t="s">
        <v>827</v>
      </c>
      <c r="C727" s="117">
        <v>467</v>
      </c>
      <c r="D727" s="91" t="s">
        <v>2542</v>
      </c>
      <c r="E727" s="91" t="s">
        <v>19</v>
      </c>
      <c r="F727" s="121">
        <v>41599</v>
      </c>
      <c r="G727" s="118">
        <v>86.34</v>
      </c>
      <c r="H727" s="72"/>
      <c r="I727" s="72"/>
      <c r="J727" s="72"/>
      <c r="K727" s="72"/>
      <c r="L727" s="72"/>
      <c r="M727" s="72"/>
      <c r="N727" s="72"/>
      <c r="O727" s="72"/>
      <c r="P727" s="72"/>
      <c r="Q727" s="63">
        <f t="shared" si="56"/>
        <v>86.34</v>
      </c>
      <c r="R727" s="72">
        <f t="shared" si="56"/>
        <v>0</v>
      </c>
      <c r="S727" s="63">
        <f t="shared" si="57"/>
        <v>86.34</v>
      </c>
    </row>
    <row r="728" spans="1:19" x14ac:dyDescent="0.25">
      <c r="A728" s="116" t="s">
        <v>2541</v>
      </c>
      <c r="B728" s="116" t="s">
        <v>827</v>
      </c>
      <c r="C728" s="117">
        <v>467</v>
      </c>
      <c r="D728" s="91" t="s">
        <v>2543</v>
      </c>
      <c r="E728" s="91" t="s">
        <v>19</v>
      </c>
      <c r="F728" s="121">
        <v>41599</v>
      </c>
      <c r="G728" s="118">
        <f>335+99.37+363.49+326.28+221.7+99.37+299.33+305+141.91+305+144.9+234+410+148.95+122.28+200.68+335+410+400+86.83+148.95+154.33+410+335+335+410+156.58+93.61+335+104.08+117.43+41.3+41.3+410+485+104.86+400</f>
        <v>9071.5300000000007</v>
      </c>
      <c r="H728" s="72"/>
      <c r="I728" s="72"/>
      <c r="J728" s="72"/>
      <c r="K728" s="72"/>
      <c r="L728" s="72"/>
      <c r="M728" s="72"/>
      <c r="N728" s="72"/>
      <c r="O728" s="72"/>
      <c r="P728" s="72"/>
      <c r="Q728" s="63">
        <f t="shared" si="56"/>
        <v>9071.5300000000007</v>
      </c>
      <c r="R728" s="72">
        <f t="shared" si="56"/>
        <v>0</v>
      </c>
      <c r="S728" s="63">
        <f t="shared" si="57"/>
        <v>9071.5300000000007</v>
      </c>
    </row>
    <row r="729" spans="1:19" x14ac:dyDescent="0.25">
      <c r="A729" s="116" t="s">
        <v>2541</v>
      </c>
      <c r="B729" s="116" t="s">
        <v>827</v>
      </c>
      <c r="C729" s="117">
        <v>467</v>
      </c>
      <c r="D729" s="91" t="s">
        <v>2544</v>
      </c>
      <c r="E729" s="91" t="s">
        <v>19</v>
      </c>
      <c r="F729" s="121">
        <v>41599</v>
      </c>
      <c r="G729" s="118">
        <f>143.81+84.9+233.29+167.08+149.88+558+148.79+93.62+148.95+335+90.76+84.9+335+223.81+208.61+160.62+335+82.29+189.2+168.88+152.51+104.08+135.39+135.39+84.9+93.61+177.58+219.75+410+154.33</f>
        <v>5609.9299999999994</v>
      </c>
      <c r="H729" s="72"/>
      <c r="I729" s="72"/>
      <c r="J729" s="72"/>
      <c r="K729" s="72"/>
      <c r="L729" s="72"/>
      <c r="M729" s="72"/>
      <c r="N729" s="72"/>
      <c r="O729" s="72"/>
      <c r="P729" s="72"/>
      <c r="Q729" s="63">
        <f t="shared" si="56"/>
        <v>5609.9299999999994</v>
      </c>
      <c r="R729" s="72">
        <f t="shared" si="56"/>
        <v>0</v>
      </c>
      <c r="S729" s="63">
        <f t="shared" si="57"/>
        <v>5609.9299999999994</v>
      </c>
    </row>
    <row r="730" spans="1:19" x14ac:dyDescent="0.25">
      <c r="A730" s="116" t="s">
        <v>2545</v>
      </c>
      <c r="B730" s="116" t="s">
        <v>2546</v>
      </c>
      <c r="C730" s="117">
        <v>468</v>
      </c>
      <c r="D730" s="91" t="s">
        <v>2547</v>
      </c>
      <c r="E730" s="91" t="s">
        <v>19</v>
      </c>
      <c r="F730" s="121">
        <v>41570</v>
      </c>
      <c r="G730" s="118" t="s">
        <v>5397</v>
      </c>
      <c r="H730" s="72"/>
      <c r="I730" s="72"/>
      <c r="J730" s="72"/>
      <c r="K730" s="72"/>
      <c r="L730" s="72"/>
      <c r="M730" s="72"/>
      <c r="N730" s="72"/>
      <c r="O730" s="72"/>
      <c r="P730" s="72"/>
      <c r="Q730" s="63"/>
      <c r="R730" s="72">
        <f t="shared" si="56"/>
        <v>0</v>
      </c>
      <c r="S730" s="63">
        <f t="shared" si="57"/>
        <v>0</v>
      </c>
    </row>
    <row r="731" spans="1:19" x14ac:dyDescent="0.25">
      <c r="A731" s="116" t="s">
        <v>2548</v>
      </c>
      <c r="B731" s="116" t="s">
        <v>2549</v>
      </c>
      <c r="C731" s="117">
        <v>469</v>
      </c>
      <c r="D731" s="91" t="s">
        <v>2550</v>
      </c>
      <c r="E731" s="91" t="s">
        <v>19</v>
      </c>
      <c r="F731" s="121">
        <v>41606</v>
      </c>
      <c r="G731" s="118">
        <f>101.32+484.92+99.37+99.37+95.29+427.8+148.95+187.98+1.42+197.52+99.37+436.6+148.95+301.7+88.49+41.3+301.7+104.08</f>
        <v>3366.1299999999992</v>
      </c>
      <c r="H731" s="72"/>
      <c r="I731" s="63">
        <v>2250</v>
      </c>
      <c r="J731" s="72"/>
      <c r="K731" s="72"/>
      <c r="L731" s="72"/>
      <c r="M731" s="72"/>
      <c r="N731" s="72"/>
      <c r="O731" s="72"/>
      <c r="P731" s="72"/>
      <c r="Q731" s="63">
        <f t="shared" si="56"/>
        <v>5616.1299999999992</v>
      </c>
      <c r="R731" s="72">
        <f t="shared" si="56"/>
        <v>0</v>
      </c>
      <c r="S731" s="63">
        <f t="shared" si="57"/>
        <v>5616.1299999999992</v>
      </c>
    </row>
    <row r="732" spans="1:19" x14ac:dyDescent="0.25">
      <c r="A732" s="116" t="s">
        <v>2548</v>
      </c>
      <c r="B732" s="116" t="s">
        <v>2549</v>
      </c>
      <c r="C732" s="117">
        <v>469</v>
      </c>
      <c r="D732" s="91" t="s">
        <v>2551</v>
      </c>
      <c r="E732" s="91" t="s">
        <v>19</v>
      </c>
      <c r="F732" s="121">
        <v>41606</v>
      </c>
      <c r="G732" s="118">
        <v>84</v>
      </c>
      <c r="H732" s="72"/>
      <c r="I732" s="72"/>
      <c r="J732" s="72"/>
      <c r="K732" s="72"/>
      <c r="L732" s="72"/>
      <c r="M732" s="72"/>
      <c r="N732" s="72"/>
      <c r="O732" s="72"/>
      <c r="P732" s="72"/>
      <c r="Q732" s="63">
        <f t="shared" si="56"/>
        <v>84</v>
      </c>
      <c r="R732" s="72">
        <f t="shared" si="56"/>
        <v>0</v>
      </c>
      <c r="S732" s="63">
        <f t="shared" si="57"/>
        <v>84</v>
      </c>
    </row>
    <row r="733" spans="1:19" x14ac:dyDescent="0.25">
      <c r="A733" s="116" t="s">
        <v>2552</v>
      </c>
      <c r="B733" s="116" t="s">
        <v>2553</v>
      </c>
      <c r="C733" s="117">
        <v>470</v>
      </c>
      <c r="D733" s="91" t="s">
        <v>2554</v>
      </c>
      <c r="E733" s="91" t="s">
        <v>19</v>
      </c>
      <c r="F733" s="121">
        <v>41606</v>
      </c>
      <c r="G733" s="118">
        <f>238+30.08+11.14+175.6+94.4</f>
        <v>549.21999999999991</v>
      </c>
      <c r="H733" s="72"/>
      <c r="I733" s="72"/>
      <c r="J733" s="72"/>
      <c r="K733" s="72"/>
      <c r="L733" s="72"/>
      <c r="M733" s="72"/>
      <c r="N733" s="72"/>
      <c r="O733" s="72"/>
      <c r="P733" s="72"/>
      <c r="Q733" s="63">
        <f t="shared" si="56"/>
        <v>549.21999999999991</v>
      </c>
      <c r="R733" s="72">
        <f t="shared" si="56"/>
        <v>0</v>
      </c>
      <c r="S733" s="63">
        <f t="shared" si="57"/>
        <v>549.21999999999991</v>
      </c>
    </row>
    <row r="734" spans="1:19" x14ac:dyDescent="0.25">
      <c r="A734" s="116" t="s">
        <v>2555</v>
      </c>
      <c r="B734" s="116" t="s">
        <v>2556</v>
      </c>
      <c r="C734" s="117">
        <v>471</v>
      </c>
      <c r="D734" s="91" t="s">
        <v>2557</v>
      </c>
      <c r="E734" s="91" t="s">
        <v>19</v>
      </c>
      <c r="F734" s="121">
        <v>41694</v>
      </c>
      <c r="G734" s="118">
        <v>1246.9100000000001</v>
      </c>
      <c r="H734" s="72"/>
      <c r="I734" s="72"/>
      <c r="J734" s="72"/>
      <c r="K734" s="72"/>
      <c r="L734" s="72"/>
      <c r="M734" s="72"/>
      <c r="N734" s="72"/>
      <c r="O734" s="72"/>
      <c r="P734" s="72"/>
      <c r="Q734" s="63">
        <f t="shared" si="56"/>
        <v>1246.9100000000001</v>
      </c>
      <c r="R734" s="72">
        <f t="shared" si="56"/>
        <v>0</v>
      </c>
      <c r="S734" s="63">
        <f t="shared" si="57"/>
        <v>1246.9100000000001</v>
      </c>
    </row>
    <row r="735" spans="1:19" x14ac:dyDescent="0.25">
      <c r="A735" s="116" t="s">
        <v>2558</v>
      </c>
      <c r="B735" s="116" t="s">
        <v>2559</v>
      </c>
      <c r="C735" s="117">
        <v>472</v>
      </c>
      <c r="D735" s="91" t="s">
        <v>2560</v>
      </c>
      <c r="E735" s="91" t="s">
        <v>19</v>
      </c>
      <c r="F735" s="121">
        <v>41676</v>
      </c>
      <c r="G735" s="118">
        <v>106.6</v>
      </c>
      <c r="H735" s="72"/>
      <c r="I735" s="72"/>
      <c r="J735" s="72"/>
      <c r="K735" s="72"/>
      <c r="L735" s="72"/>
      <c r="M735" s="72"/>
      <c r="N735" s="72"/>
      <c r="O735" s="72"/>
      <c r="P735" s="72"/>
      <c r="Q735" s="63">
        <f t="shared" si="56"/>
        <v>106.6</v>
      </c>
      <c r="R735" s="72">
        <f t="shared" si="56"/>
        <v>0</v>
      </c>
      <c r="S735" s="63">
        <f t="shared" si="57"/>
        <v>106.6</v>
      </c>
    </row>
    <row r="736" spans="1:19" x14ac:dyDescent="0.25">
      <c r="A736" s="116" t="s">
        <v>2561</v>
      </c>
      <c r="B736" s="116" t="s">
        <v>2562</v>
      </c>
      <c r="C736" s="117">
        <v>473</v>
      </c>
      <c r="D736" s="91" t="s">
        <v>2563</v>
      </c>
      <c r="E736" s="91" t="s">
        <v>19</v>
      </c>
      <c r="F736" s="121">
        <v>41606</v>
      </c>
      <c r="G736" s="118">
        <f>238+117.5+180</f>
        <v>535.5</v>
      </c>
      <c r="H736" s="72"/>
      <c r="I736" s="72"/>
      <c r="J736" s="72"/>
      <c r="K736" s="72"/>
      <c r="L736" s="72"/>
      <c r="M736" s="72"/>
      <c r="N736" s="72"/>
      <c r="O736" s="72"/>
      <c r="P736" s="72"/>
      <c r="Q736" s="63">
        <f t="shared" si="56"/>
        <v>535.5</v>
      </c>
      <c r="R736" s="72">
        <f t="shared" si="56"/>
        <v>0</v>
      </c>
      <c r="S736" s="63">
        <f t="shared" si="57"/>
        <v>535.5</v>
      </c>
    </row>
    <row r="737" spans="1:19" x14ac:dyDescent="0.25">
      <c r="A737" s="116" t="s">
        <v>2564</v>
      </c>
      <c r="B737" s="116" t="s">
        <v>2565</v>
      </c>
      <c r="C737" s="117">
        <v>474</v>
      </c>
      <c r="D737" s="91" t="s">
        <v>2566</v>
      </c>
      <c r="E737" s="91" t="s">
        <v>19</v>
      </c>
      <c r="F737" s="121">
        <v>41615</v>
      </c>
      <c r="G737" s="118">
        <v>107.47</v>
      </c>
      <c r="H737" s="72"/>
      <c r="I737" s="72"/>
      <c r="J737" s="72"/>
      <c r="K737" s="72"/>
      <c r="L737" s="72"/>
      <c r="M737" s="72"/>
      <c r="N737" s="72"/>
      <c r="O737" s="72"/>
      <c r="P737" s="72"/>
      <c r="Q737" s="63">
        <f t="shared" si="56"/>
        <v>107.47</v>
      </c>
      <c r="R737" s="72">
        <f t="shared" si="56"/>
        <v>0</v>
      </c>
      <c r="S737" s="63">
        <f t="shared" si="57"/>
        <v>107.47</v>
      </c>
    </row>
    <row r="738" spans="1:19" x14ac:dyDescent="0.25">
      <c r="A738" s="116" t="s">
        <v>2567</v>
      </c>
      <c r="B738" s="116" t="s">
        <v>2568</v>
      </c>
      <c r="C738" s="117">
        <v>475</v>
      </c>
      <c r="D738" s="91" t="s">
        <v>2569</v>
      </c>
      <c r="E738" s="91" t="s">
        <v>19</v>
      </c>
      <c r="F738" s="121">
        <v>41594</v>
      </c>
      <c r="G738" s="118">
        <f>106.53+558+5850.71+84.59+99.61+75.83+436.6+262.96</f>
        <v>7474.83</v>
      </c>
      <c r="H738" s="72"/>
      <c r="I738" s="120">
        <v>2000</v>
      </c>
      <c r="J738" s="72"/>
      <c r="K738" s="72"/>
      <c r="L738" s="72"/>
      <c r="M738" s="72"/>
      <c r="N738" s="72"/>
      <c r="O738" s="72"/>
      <c r="P738" s="72"/>
      <c r="Q738" s="63">
        <f t="shared" si="56"/>
        <v>9474.83</v>
      </c>
      <c r="R738" s="72">
        <f t="shared" si="56"/>
        <v>0</v>
      </c>
      <c r="S738" s="63">
        <f t="shared" si="57"/>
        <v>9474.83</v>
      </c>
    </row>
    <row r="739" spans="1:19" x14ac:dyDescent="0.25">
      <c r="A739" s="116" t="s">
        <v>2567</v>
      </c>
      <c r="B739" s="116" t="s">
        <v>2568</v>
      </c>
      <c r="C739" s="117">
        <v>475</v>
      </c>
      <c r="D739" s="91" t="s">
        <v>2570</v>
      </c>
      <c r="E739" s="91" t="s">
        <v>19</v>
      </c>
      <c r="F739" s="121">
        <v>41594</v>
      </c>
      <c r="G739" s="118">
        <v>117.32</v>
      </c>
      <c r="H739" s="72"/>
      <c r="I739" s="72"/>
      <c r="J739" s="72"/>
      <c r="K739" s="72"/>
      <c r="L739" s="72"/>
      <c r="M739" s="72"/>
      <c r="N739" s="72"/>
      <c r="O739" s="72"/>
      <c r="P739" s="72"/>
      <c r="Q739" s="63">
        <f t="shared" si="56"/>
        <v>117.32</v>
      </c>
      <c r="R739" s="72">
        <f t="shared" si="56"/>
        <v>0</v>
      </c>
      <c r="S739" s="63">
        <f t="shared" si="57"/>
        <v>117.32</v>
      </c>
    </row>
    <row r="740" spans="1:19" x14ac:dyDescent="0.25">
      <c r="A740" s="116" t="s">
        <v>2567</v>
      </c>
      <c r="B740" s="116" t="s">
        <v>2568</v>
      </c>
      <c r="C740" s="117">
        <v>475</v>
      </c>
      <c r="D740" s="91" t="s">
        <v>2571</v>
      </c>
      <c r="E740" s="91" t="s">
        <v>19</v>
      </c>
      <c r="F740" s="121">
        <v>41594</v>
      </c>
      <c r="G740" s="118">
        <v>150.57</v>
      </c>
      <c r="H740" s="72"/>
      <c r="I740" s="72"/>
      <c r="J740" s="72"/>
      <c r="K740" s="72"/>
      <c r="L740" s="72"/>
      <c r="M740" s="72"/>
      <c r="N740" s="72"/>
      <c r="O740" s="72"/>
      <c r="P740" s="72"/>
      <c r="Q740" s="63">
        <f t="shared" si="56"/>
        <v>150.57</v>
      </c>
      <c r="R740" s="72">
        <f t="shared" si="56"/>
        <v>0</v>
      </c>
      <c r="S740" s="63">
        <f t="shared" si="57"/>
        <v>150.57</v>
      </c>
    </row>
    <row r="741" spans="1:19" x14ac:dyDescent="0.25">
      <c r="A741" s="116" t="s">
        <v>2567</v>
      </c>
      <c r="B741" s="116" t="s">
        <v>2568</v>
      </c>
      <c r="C741" s="117">
        <v>475</v>
      </c>
      <c r="D741" s="91" t="s">
        <v>2572</v>
      </c>
      <c r="E741" s="91" t="s">
        <v>19</v>
      </c>
      <c r="F741" s="121">
        <v>41594</v>
      </c>
      <c r="G741" s="118"/>
      <c r="H741" s="72"/>
      <c r="I741" s="72"/>
      <c r="J741" s="72"/>
      <c r="K741" s="72"/>
      <c r="L741" s="72"/>
      <c r="M741" s="72"/>
      <c r="N741" s="72"/>
      <c r="O741" s="72"/>
      <c r="P741" s="72"/>
      <c r="Q741" s="63">
        <f t="shared" si="56"/>
        <v>0</v>
      </c>
      <c r="R741" s="72">
        <f t="shared" si="56"/>
        <v>0</v>
      </c>
      <c r="S741" s="63">
        <f t="shared" si="57"/>
        <v>0</v>
      </c>
    </row>
    <row r="742" spans="1:19" x14ac:dyDescent="0.25">
      <c r="A742" s="116" t="s">
        <v>2567</v>
      </c>
      <c r="B742" s="116" t="s">
        <v>2568</v>
      </c>
      <c r="C742" s="117">
        <v>475</v>
      </c>
      <c r="D742" s="91" t="s">
        <v>2573</v>
      </c>
      <c r="E742" s="91" t="s">
        <v>19</v>
      </c>
      <c r="F742" s="121">
        <v>41594</v>
      </c>
      <c r="G742" s="118">
        <f>144.97+143.81+558+71.65+146.45+152.97+121.67+124.01+148.95+154.93+148.95+124.44</f>
        <v>2040.8000000000002</v>
      </c>
      <c r="H742" s="72"/>
      <c r="I742" s="120">
        <f>750+750</f>
        <v>1500</v>
      </c>
      <c r="J742" s="72"/>
      <c r="K742" s="72"/>
      <c r="L742" s="72"/>
      <c r="M742" s="72"/>
      <c r="N742" s="72"/>
      <c r="O742" s="72"/>
      <c r="P742" s="72"/>
      <c r="Q742" s="63">
        <f t="shared" si="56"/>
        <v>3540.8</v>
      </c>
      <c r="R742" s="72">
        <f t="shared" si="56"/>
        <v>0</v>
      </c>
      <c r="S742" s="63">
        <f t="shared" si="57"/>
        <v>3540.8</v>
      </c>
    </row>
    <row r="743" spans="1:19" x14ac:dyDescent="0.25">
      <c r="A743" s="116" t="s">
        <v>2567</v>
      </c>
      <c r="B743" s="116" t="s">
        <v>2568</v>
      </c>
      <c r="C743" s="117">
        <v>475</v>
      </c>
      <c r="D743" s="91" t="s">
        <v>2574</v>
      </c>
      <c r="E743" s="91" t="s">
        <v>19</v>
      </c>
      <c r="F743" s="121">
        <v>41594</v>
      </c>
      <c r="G743" s="118">
        <f>238+81.65+190.02+186.59+41.3+70.49+182.47+260+177.65+220.57+146.22+190.63</f>
        <v>1985.5900000000001</v>
      </c>
      <c r="H743" s="72"/>
      <c r="I743" s="120">
        <f>750+500</f>
        <v>1250</v>
      </c>
      <c r="J743" s="72"/>
      <c r="K743" s="72"/>
      <c r="L743" s="72"/>
      <c r="M743" s="72"/>
      <c r="N743" s="72"/>
      <c r="O743" s="72"/>
      <c r="P743" s="72"/>
      <c r="Q743" s="63">
        <f t="shared" si="56"/>
        <v>3235.59</v>
      </c>
      <c r="R743" s="72">
        <f t="shared" si="56"/>
        <v>0</v>
      </c>
      <c r="S743" s="63">
        <f t="shared" si="57"/>
        <v>3235.59</v>
      </c>
    </row>
    <row r="744" spans="1:19" x14ac:dyDescent="0.25">
      <c r="A744" s="116" t="s">
        <v>2567</v>
      </c>
      <c r="B744" s="116" t="s">
        <v>2568</v>
      </c>
      <c r="C744" s="117">
        <v>475</v>
      </c>
      <c r="D744" s="91" t="s">
        <v>2575</v>
      </c>
      <c r="E744" s="91" t="s">
        <v>19</v>
      </c>
      <c r="F744" s="121">
        <v>41594</v>
      </c>
      <c r="G744" s="118">
        <f>436.6+64.9+436.6+64.9+16.76+365.92</f>
        <v>1385.68</v>
      </c>
      <c r="H744" s="72"/>
      <c r="I744" s="120">
        <v>1125</v>
      </c>
      <c r="J744" s="72"/>
      <c r="K744" s="72"/>
      <c r="L744" s="72"/>
      <c r="M744" s="72"/>
      <c r="N744" s="72"/>
      <c r="O744" s="72"/>
      <c r="P744" s="72"/>
      <c r="Q744" s="63">
        <f t="shared" si="56"/>
        <v>2510.6800000000003</v>
      </c>
      <c r="R744" s="72">
        <f t="shared" si="56"/>
        <v>0</v>
      </c>
      <c r="S744" s="63">
        <f t="shared" si="57"/>
        <v>2510.6800000000003</v>
      </c>
    </row>
    <row r="745" spans="1:19" x14ac:dyDescent="0.25">
      <c r="A745" s="116" t="s">
        <v>2567</v>
      </c>
      <c r="B745" s="116" t="s">
        <v>2568</v>
      </c>
      <c r="C745" s="117">
        <v>475</v>
      </c>
      <c r="D745" s="91" t="s">
        <v>2576</v>
      </c>
      <c r="E745" s="91" t="s">
        <v>19</v>
      </c>
      <c r="F745" s="121">
        <v>41594</v>
      </c>
      <c r="G745" s="118">
        <v>156</v>
      </c>
      <c r="H745" s="72"/>
      <c r="I745" s="73"/>
      <c r="J745" s="72"/>
      <c r="K745" s="72"/>
      <c r="L745" s="72"/>
      <c r="M745" s="72"/>
      <c r="N745" s="72"/>
      <c r="O745" s="72"/>
      <c r="P745" s="72"/>
      <c r="Q745" s="63">
        <f t="shared" si="56"/>
        <v>156</v>
      </c>
      <c r="R745" s="72">
        <f t="shared" si="56"/>
        <v>0</v>
      </c>
      <c r="S745" s="63">
        <f t="shared" si="57"/>
        <v>156</v>
      </c>
    </row>
    <row r="746" spans="1:19" x14ac:dyDescent="0.25">
      <c r="A746" s="116" t="s">
        <v>2567</v>
      </c>
      <c r="B746" s="116" t="s">
        <v>2568</v>
      </c>
      <c r="C746" s="117">
        <v>475</v>
      </c>
      <c r="D746" s="91" t="s">
        <v>2577</v>
      </c>
      <c r="E746" s="91" t="s">
        <v>19</v>
      </c>
      <c r="F746" s="121">
        <v>41594</v>
      </c>
      <c r="G746" s="118">
        <v>125.32</v>
      </c>
      <c r="H746" s="72"/>
      <c r="I746" s="73"/>
      <c r="J746" s="72"/>
      <c r="K746" s="72"/>
      <c r="L746" s="72"/>
      <c r="M746" s="72"/>
      <c r="N746" s="72"/>
      <c r="O746" s="72"/>
      <c r="P746" s="72"/>
      <c r="Q746" s="63">
        <f t="shared" si="56"/>
        <v>125.32</v>
      </c>
      <c r="R746" s="72">
        <f t="shared" si="56"/>
        <v>0</v>
      </c>
      <c r="S746" s="63">
        <f t="shared" si="57"/>
        <v>125.32</v>
      </c>
    </row>
    <row r="747" spans="1:19" x14ac:dyDescent="0.25">
      <c r="A747" s="116" t="s">
        <v>2567</v>
      </c>
      <c r="B747" s="116" t="s">
        <v>2568</v>
      </c>
      <c r="C747" s="117">
        <v>475</v>
      </c>
      <c r="D747" s="91" t="s">
        <v>2578</v>
      </c>
      <c r="E747" s="91" t="s">
        <v>19</v>
      </c>
      <c r="F747" s="121">
        <v>41594</v>
      </c>
      <c r="G747" s="118">
        <f>78.34+237.06</f>
        <v>315.39999999999998</v>
      </c>
      <c r="H747" s="72"/>
      <c r="I747" s="120">
        <v>175</v>
      </c>
      <c r="J747" s="72"/>
      <c r="K747" s="72"/>
      <c r="L747" s="72"/>
      <c r="M747" s="72"/>
      <c r="N747" s="72"/>
      <c r="O747" s="72"/>
      <c r="P747" s="72"/>
      <c r="Q747" s="63">
        <f t="shared" si="56"/>
        <v>490.4</v>
      </c>
      <c r="R747" s="72">
        <f t="shared" si="56"/>
        <v>0</v>
      </c>
      <c r="S747" s="63">
        <f t="shared" si="57"/>
        <v>490.4</v>
      </c>
    </row>
    <row r="748" spans="1:19" x14ac:dyDescent="0.25">
      <c r="A748" s="116" t="s">
        <v>2567</v>
      </c>
      <c r="B748" s="116" t="s">
        <v>2568</v>
      </c>
      <c r="C748" s="117">
        <v>475</v>
      </c>
      <c r="D748" s="91" t="s">
        <v>2579</v>
      </c>
      <c r="E748" s="91" t="s">
        <v>19</v>
      </c>
      <c r="F748" s="121">
        <v>41594</v>
      </c>
      <c r="G748" s="118">
        <v>311.39999999999998</v>
      </c>
      <c r="H748" s="72"/>
      <c r="I748" s="120">
        <v>425</v>
      </c>
      <c r="J748" s="72"/>
      <c r="K748" s="72"/>
      <c r="L748" s="72"/>
      <c r="M748" s="72"/>
      <c r="N748" s="72"/>
      <c r="O748" s="72"/>
      <c r="P748" s="72"/>
      <c r="Q748" s="63">
        <f t="shared" si="56"/>
        <v>736.4</v>
      </c>
      <c r="R748" s="72">
        <f t="shared" si="56"/>
        <v>0</v>
      </c>
      <c r="S748" s="63">
        <f t="shared" si="57"/>
        <v>736.4</v>
      </c>
    </row>
    <row r="749" spans="1:19" x14ac:dyDescent="0.25">
      <c r="A749" s="116" t="s">
        <v>2567</v>
      </c>
      <c r="B749" s="116" t="s">
        <v>2568</v>
      </c>
      <c r="C749" s="117">
        <v>475</v>
      </c>
      <c r="D749" s="91" t="s">
        <v>2580</v>
      </c>
      <c r="E749" s="91" t="s">
        <v>19</v>
      </c>
      <c r="F749" s="121">
        <v>41594</v>
      </c>
      <c r="G749" s="118">
        <v>117.82</v>
      </c>
      <c r="H749" s="72"/>
      <c r="I749" s="73"/>
      <c r="J749" s="72"/>
      <c r="K749" s="72"/>
      <c r="L749" s="72"/>
      <c r="M749" s="72"/>
      <c r="N749" s="72"/>
      <c r="O749" s="72"/>
      <c r="P749" s="72"/>
      <c r="Q749" s="63">
        <f t="shared" si="56"/>
        <v>117.82</v>
      </c>
      <c r="R749" s="72">
        <f t="shared" si="56"/>
        <v>0</v>
      </c>
      <c r="S749" s="63">
        <f t="shared" si="57"/>
        <v>117.82</v>
      </c>
    </row>
    <row r="750" spans="1:19" x14ac:dyDescent="0.25">
      <c r="A750" s="116" t="s">
        <v>2567</v>
      </c>
      <c r="B750" s="116" t="s">
        <v>2568</v>
      </c>
      <c r="C750" s="117">
        <v>475</v>
      </c>
      <c r="D750" s="91" t="s">
        <v>2581</v>
      </c>
      <c r="E750" s="91" t="s">
        <v>19</v>
      </c>
      <c r="F750" s="121">
        <v>41594</v>
      </c>
      <c r="G750" s="118">
        <f>117.41+156+244.88</f>
        <v>518.29</v>
      </c>
      <c r="H750" s="72"/>
      <c r="I750" s="120">
        <v>150</v>
      </c>
      <c r="J750" s="72"/>
      <c r="K750" s="72"/>
      <c r="L750" s="72"/>
      <c r="M750" s="72"/>
      <c r="N750" s="72"/>
      <c r="O750" s="72"/>
      <c r="P750" s="72"/>
      <c r="Q750" s="63">
        <f t="shared" si="56"/>
        <v>668.29</v>
      </c>
      <c r="R750" s="72">
        <f t="shared" si="56"/>
        <v>0</v>
      </c>
      <c r="S750" s="63">
        <f t="shared" si="57"/>
        <v>668.29</v>
      </c>
    </row>
    <row r="751" spans="1:19" x14ac:dyDescent="0.25">
      <c r="A751" s="116" t="s">
        <v>2582</v>
      </c>
      <c r="B751" s="116" t="s">
        <v>2583</v>
      </c>
      <c r="C751" s="117">
        <v>476</v>
      </c>
      <c r="D751" s="91" t="s">
        <v>2584</v>
      </c>
      <c r="E751" s="91" t="s">
        <v>19</v>
      </c>
      <c r="F751" s="121">
        <v>41627</v>
      </c>
      <c r="G751" s="118">
        <v>1563</v>
      </c>
      <c r="H751" s="72"/>
      <c r="I751" s="73"/>
      <c r="J751" s="72"/>
      <c r="K751" s="72"/>
      <c r="L751" s="72"/>
      <c r="M751" s="72"/>
      <c r="N751" s="72"/>
      <c r="O751" s="72"/>
      <c r="P751" s="72"/>
      <c r="Q751" s="63">
        <f t="shared" si="56"/>
        <v>1563</v>
      </c>
      <c r="R751" s="72">
        <f t="shared" si="56"/>
        <v>0</v>
      </c>
      <c r="S751" s="63">
        <f t="shared" si="57"/>
        <v>1563</v>
      </c>
    </row>
    <row r="752" spans="1:19" x14ac:dyDescent="0.25">
      <c r="A752" s="116" t="s">
        <v>2582</v>
      </c>
      <c r="B752" s="116" t="s">
        <v>2583</v>
      </c>
      <c r="C752" s="117">
        <v>476</v>
      </c>
      <c r="D752" s="91" t="s">
        <v>2585</v>
      </c>
      <c r="E752" s="91" t="s">
        <v>19</v>
      </c>
      <c r="F752" s="121">
        <v>41627</v>
      </c>
      <c r="G752" s="118">
        <v>116.11</v>
      </c>
      <c r="H752" s="72"/>
      <c r="I752" s="72"/>
      <c r="J752" s="72"/>
      <c r="K752" s="72"/>
      <c r="L752" s="72"/>
      <c r="M752" s="72"/>
      <c r="N752" s="72"/>
      <c r="O752" s="72"/>
      <c r="P752" s="72"/>
      <c r="Q752" s="63">
        <f t="shared" si="56"/>
        <v>116.11</v>
      </c>
      <c r="R752" s="72">
        <f t="shared" si="56"/>
        <v>0</v>
      </c>
      <c r="S752" s="63">
        <f t="shared" si="57"/>
        <v>116.11</v>
      </c>
    </row>
    <row r="753" spans="1:19" x14ac:dyDescent="0.25">
      <c r="A753" s="116" t="s">
        <v>2582</v>
      </c>
      <c r="B753" s="116" t="s">
        <v>2583</v>
      </c>
      <c r="C753" s="117">
        <v>476</v>
      </c>
      <c r="D753" s="91" t="s">
        <v>2586</v>
      </c>
      <c r="E753" s="91" t="s">
        <v>19</v>
      </c>
      <c r="F753" s="121">
        <v>41627</v>
      </c>
      <c r="G753" s="118">
        <f>64.9+436.6+201.31</f>
        <v>702.81</v>
      </c>
      <c r="H753" s="72"/>
      <c r="I753" s="63">
        <v>950</v>
      </c>
      <c r="J753" s="72"/>
      <c r="K753" s="72"/>
      <c r="L753" s="72"/>
      <c r="M753" s="72"/>
      <c r="N753" s="72"/>
      <c r="O753" s="72"/>
      <c r="P753" s="72"/>
      <c r="Q753" s="63">
        <f t="shared" si="56"/>
        <v>1652.81</v>
      </c>
      <c r="R753" s="72">
        <f t="shared" si="56"/>
        <v>0</v>
      </c>
      <c r="S753" s="63">
        <f t="shared" si="57"/>
        <v>1652.81</v>
      </c>
    </row>
    <row r="754" spans="1:19" x14ac:dyDescent="0.25">
      <c r="A754" s="116" t="s">
        <v>2587</v>
      </c>
      <c r="B754" s="116" t="s">
        <v>2588</v>
      </c>
      <c r="C754" s="117">
        <v>477</v>
      </c>
      <c r="D754" s="91" t="s">
        <v>2589</v>
      </c>
      <c r="E754" s="91" t="s">
        <v>19</v>
      </c>
      <c r="F754" s="121">
        <v>41712</v>
      </c>
      <c r="G754" s="118">
        <v>152.57</v>
      </c>
      <c r="H754" s="72"/>
      <c r="I754" s="72"/>
      <c r="J754" s="72"/>
      <c r="K754" s="72"/>
      <c r="L754" s="72"/>
      <c r="M754" s="72"/>
      <c r="N754" s="72"/>
      <c r="O754" s="72"/>
      <c r="P754" s="72"/>
      <c r="Q754" s="63">
        <f t="shared" si="56"/>
        <v>152.57</v>
      </c>
      <c r="R754" s="72">
        <f t="shared" si="56"/>
        <v>0</v>
      </c>
      <c r="S754" s="63">
        <f t="shared" si="57"/>
        <v>152.57</v>
      </c>
    </row>
    <row r="755" spans="1:19" x14ac:dyDescent="0.25">
      <c r="A755" s="116" t="s">
        <v>2590</v>
      </c>
      <c r="B755" s="116" t="s">
        <v>2591</v>
      </c>
      <c r="C755" s="117">
        <v>478</v>
      </c>
      <c r="D755" s="91" t="s">
        <v>2592</v>
      </c>
      <c r="E755" s="91" t="s">
        <v>19</v>
      </c>
      <c r="F755" s="121">
        <v>41712</v>
      </c>
      <c r="G755" s="118">
        <v>162.6</v>
      </c>
      <c r="H755" s="72"/>
      <c r="I755" s="72"/>
      <c r="J755" s="72"/>
      <c r="K755" s="72"/>
      <c r="L755" s="72"/>
      <c r="M755" s="72"/>
      <c r="N755" s="72"/>
      <c r="O755" s="72"/>
      <c r="P755" s="72"/>
      <c r="Q755" s="63">
        <f t="shared" si="56"/>
        <v>162.6</v>
      </c>
      <c r="R755" s="72">
        <f t="shared" si="56"/>
        <v>0</v>
      </c>
      <c r="S755" s="63">
        <f t="shared" si="57"/>
        <v>162.6</v>
      </c>
    </row>
    <row r="756" spans="1:19" x14ac:dyDescent="0.25">
      <c r="A756" s="116" t="s">
        <v>2590</v>
      </c>
      <c r="B756" s="116" t="s">
        <v>2591</v>
      </c>
      <c r="C756" s="117">
        <v>478</v>
      </c>
      <c r="D756" s="91" t="s">
        <v>2593</v>
      </c>
      <c r="E756" s="91" t="s">
        <v>19</v>
      </c>
      <c r="F756" s="121">
        <v>41712</v>
      </c>
      <c r="G756" s="118">
        <v>86.02</v>
      </c>
      <c r="H756" s="72"/>
      <c r="I756" s="72"/>
      <c r="J756" s="72"/>
      <c r="K756" s="72"/>
      <c r="L756" s="72"/>
      <c r="M756" s="72"/>
      <c r="N756" s="72"/>
      <c r="O756" s="72"/>
      <c r="P756" s="72"/>
      <c r="Q756" s="63">
        <f t="shared" si="56"/>
        <v>86.02</v>
      </c>
      <c r="R756" s="72">
        <f t="shared" si="56"/>
        <v>0</v>
      </c>
      <c r="S756" s="63">
        <f t="shared" si="57"/>
        <v>86.02</v>
      </c>
    </row>
    <row r="757" spans="1:19" x14ac:dyDescent="0.25">
      <c r="A757" s="116" t="s">
        <v>2590</v>
      </c>
      <c r="B757" s="116" t="s">
        <v>2591</v>
      </c>
      <c r="C757" s="117">
        <v>478</v>
      </c>
      <c r="D757" s="91" t="s">
        <v>2594</v>
      </c>
      <c r="E757" s="91" t="s">
        <v>19</v>
      </c>
      <c r="F757" s="121">
        <v>41712</v>
      </c>
      <c r="G757" s="118">
        <v>88.03</v>
      </c>
      <c r="H757" s="72"/>
      <c r="I757" s="72"/>
      <c r="J757" s="72"/>
      <c r="K757" s="72"/>
      <c r="L757" s="72"/>
      <c r="M757" s="72"/>
      <c r="N757" s="72"/>
      <c r="O757" s="72"/>
      <c r="P757" s="72"/>
      <c r="Q757" s="63">
        <f t="shared" si="56"/>
        <v>88.03</v>
      </c>
      <c r="R757" s="72">
        <f t="shared" si="56"/>
        <v>0</v>
      </c>
      <c r="S757" s="63">
        <f t="shared" si="57"/>
        <v>88.03</v>
      </c>
    </row>
    <row r="758" spans="1:19" x14ac:dyDescent="0.25">
      <c r="A758" s="116" t="s">
        <v>2590</v>
      </c>
      <c r="B758" s="116" t="s">
        <v>2591</v>
      </c>
      <c r="C758" s="117">
        <v>478</v>
      </c>
      <c r="D758" s="91" t="s">
        <v>2595</v>
      </c>
      <c r="E758" s="91" t="s">
        <v>19</v>
      </c>
      <c r="F758" s="121">
        <v>41712</v>
      </c>
      <c r="G758" s="118">
        <v>195</v>
      </c>
      <c r="H758" s="72"/>
      <c r="I758" s="72"/>
      <c r="J758" s="72"/>
      <c r="K758" s="72"/>
      <c r="L758" s="72"/>
      <c r="M758" s="72"/>
      <c r="N758" s="72"/>
      <c r="O758" s="72"/>
      <c r="P758" s="72"/>
      <c r="Q758" s="63">
        <f t="shared" si="56"/>
        <v>195</v>
      </c>
      <c r="R758" s="72">
        <f t="shared" si="56"/>
        <v>0</v>
      </c>
      <c r="S758" s="63">
        <f t="shared" si="57"/>
        <v>195</v>
      </c>
    </row>
    <row r="759" spans="1:19" x14ac:dyDescent="0.25">
      <c r="A759" s="116" t="s">
        <v>2596</v>
      </c>
      <c r="B759" s="116" t="s">
        <v>2597</v>
      </c>
      <c r="C759" s="117">
        <v>479</v>
      </c>
      <c r="D759" s="91" t="s">
        <v>2598</v>
      </c>
      <c r="E759" s="91" t="s">
        <v>19</v>
      </c>
      <c r="F759" s="121">
        <v>41712</v>
      </c>
      <c r="G759" s="118">
        <v>120.3</v>
      </c>
      <c r="H759" s="72"/>
      <c r="I759" s="72"/>
      <c r="J759" s="72"/>
      <c r="K759" s="72"/>
      <c r="L759" s="72"/>
      <c r="M759" s="72"/>
      <c r="N759" s="72"/>
      <c r="O759" s="72"/>
      <c r="P759" s="72"/>
      <c r="Q759" s="63">
        <f t="shared" si="56"/>
        <v>120.3</v>
      </c>
      <c r="R759" s="72">
        <f t="shared" si="56"/>
        <v>0</v>
      </c>
      <c r="S759" s="63">
        <f t="shared" si="57"/>
        <v>120.3</v>
      </c>
    </row>
    <row r="760" spans="1:19" x14ac:dyDescent="0.25">
      <c r="A760" s="116" t="s">
        <v>2596</v>
      </c>
      <c r="B760" s="116" t="s">
        <v>2597</v>
      </c>
      <c r="C760" s="117">
        <v>479</v>
      </c>
      <c r="D760" s="91" t="s">
        <v>2599</v>
      </c>
      <c r="E760" s="91" t="s">
        <v>19</v>
      </c>
      <c r="F760" s="121">
        <v>41712</v>
      </c>
      <c r="G760" s="118">
        <v>125.32</v>
      </c>
      <c r="H760" s="72"/>
      <c r="I760" s="72"/>
      <c r="J760" s="72"/>
      <c r="K760" s="72"/>
      <c r="L760" s="72"/>
      <c r="M760" s="72"/>
      <c r="N760" s="72"/>
      <c r="O760" s="72"/>
      <c r="P760" s="72"/>
      <c r="Q760" s="63">
        <f t="shared" si="56"/>
        <v>125.32</v>
      </c>
      <c r="R760" s="72">
        <f t="shared" si="56"/>
        <v>0</v>
      </c>
      <c r="S760" s="63">
        <f t="shared" si="57"/>
        <v>125.32</v>
      </c>
    </row>
    <row r="761" spans="1:19" x14ac:dyDescent="0.25">
      <c r="A761" s="116" t="s">
        <v>2596</v>
      </c>
      <c r="B761" s="116" t="s">
        <v>2597</v>
      </c>
      <c r="C761" s="117">
        <v>479</v>
      </c>
      <c r="D761" s="91" t="s">
        <v>2600</v>
      </c>
      <c r="E761" s="91" t="s">
        <v>19</v>
      </c>
      <c r="F761" s="121">
        <v>41712</v>
      </c>
      <c r="G761" s="118">
        <v>75.11</v>
      </c>
      <c r="H761" s="72"/>
      <c r="I761" s="72"/>
      <c r="J761" s="72"/>
      <c r="K761" s="72"/>
      <c r="L761" s="72"/>
      <c r="M761" s="72"/>
      <c r="N761" s="72"/>
      <c r="O761" s="72"/>
      <c r="P761" s="72"/>
      <c r="Q761" s="63">
        <f t="shared" si="56"/>
        <v>75.11</v>
      </c>
      <c r="R761" s="72">
        <f t="shared" si="56"/>
        <v>0</v>
      </c>
      <c r="S761" s="63">
        <f t="shared" si="57"/>
        <v>75.11</v>
      </c>
    </row>
    <row r="762" spans="1:19" x14ac:dyDescent="0.25">
      <c r="A762" s="116" t="s">
        <v>2596</v>
      </c>
      <c r="B762" s="116" t="s">
        <v>2597</v>
      </c>
      <c r="C762" s="117">
        <v>479</v>
      </c>
      <c r="D762" s="91" t="s">
        <v>2601</v>
      </c>
      <c r="E762" s="91" t="s">
        <v>19</v>
      </c>
      <c r="F762" s="121">
        <v>41712</v>
      </c>
      <c r="G762" s="118">
        <v>49.86</v>
      </c>
      <c r="H762" s="72"/>
      <c r="I762" s="72"/>
      <c r="J762" s="72"/>
      <c r="K762" s="72"/>
      <c r="L762" s="72"/>
      <c r="M762" s="72"/>
      <c r="N762" s="72"/>
      <c r="O762" s="72"/>
      <c r="P762" s="72"/>
      <c r="Q762" s="63">
        <f t="shared" si="56"/>
        <v>49.86</v>
      </c>
      <c r="R762" s="72">
        <f t="shared" si="56"/>
        <v>0</v>
      </c>
      <c r="S762" s="63">
        <f t="shared" si="57"/>
        <v>49.86</v>
      </c>
    </row>
    <row r="763" spans="1:19" x14ac:dyDescent="0.25">
      <c r="A763" s="116" t="s">
        <v>2602</v>
      </c>
      <c r="B763" s="116" t="s">
        <v>2603</v>
      </c>
      <c r="C763" s="117">
        <v>480</v>
      </c>
      <c r="D763" s="91" t="s">
        <v>2604</v>
      </c>
      <c r="E763" s="91" t="s">
        <v>19</v>
      </c>
      <c r="F763" s="121">
        <v>41603</v>
      </c>
      <c r="G763" s="118">
        <f>135.62+36.3+18.63+64.9+436.6+82.6</f>
        <v>774.65000000000009</v>
      </c>
      <c r="H763" s="72"/>
      <c r="I763" s="120">
        <v>750</v>
      </c>
      <c r="J763" s="72"/>
      <c r="K763" s="72"/>
      <c r="L763" s="72"/>
      <c r="M763" s="72"/>
      <c r="N763" s="72"/>
      <c r="O763" s="72"/>
      <c r="P763" s="72"/>
      <c r="Q763" s="63">
        <f t="shared" si="56"/>
        <v>1524.65</v>
      </c>
      <c r="R763" s="72">
        <f t="shared" si="56"/>
        <v>0</v>
      </c>
      <c r="S763" s="63">
        <f t="shared" si="57"/>
        <v>1524.65</v>
      </c>
    </row>
    <row r="764" spans="1:19" x14ac:dyDescent="0.25">
      <c r="A764" s="116" t="s">
        <v>2602</v>
      </c>
      <c r="B764" s="116" t="s">
        <v>2603</v>
      </c>
      <c r="C764" s="117">
        <v>480</v>
      </c>
      <c r="D764" s="91" t="s">
        <v>2605</v>
      </c>
      <c r="E764" s="91" t="s">
        <v>19</v>
      </c>
      <c r="F764" s="121">
        <v>41603</v>
      </c>
      <c r="G764" s="118">
        <f>188.05+200.98+47.2</f>
        <v>436.22999999999996</v>
      </c>
      <c r="H764" s="72"/>
      <c r="I764" s="120">
        <v>1250</v>
      </c>
      <c r="J764" s="72"/>
      <c r="K764" s="72"/>
      <c r="L764" s="72"/>
      <c r="M764" s="72"/>
      <c r="N764" s="72"/>
      <c r="O764" s="72"/>
      <c r="P764" s="72"/>
      <c r="Q764" s="63">
        <f t="shared" si="56"/>
        <v>1686.23</v>
      </c>
      <c r="R764" s="72">
        <f t="shared" si="56"/>
        <v>0</v>
      </c>
      <c r="S764" s="63">
        <f t="shared" si="57"/>
        <v>1686.23</v>
      </c>
    </row>
    <row r="765" spans="1:19" x14ac:dyDescent="0.25">
      <c r="A765" s="116" t="s">
        <v>2602</v>
      </c>
      <c r="B765" s="116" t="s">
        <v>2603</v>
      </c>
      <c r="C765" s="117">
        <v>480</v>
      </c>
      <c r="D765" s="91" t="s">
        <v>2606</v>
      </c>
      <c r="E765" s="91" t="s">
        <v>19</v>
      </c>
      <c r="F765" s="121">
        <v>41603</v>
      </c>
      <c r="G765" s="118">
        <f>61.01+154.25</f>
        <v>215.26</v>
      </c>
      <c r="H765" s="72"/>
      <c r="I765" s="120">
        <f>750</f>
        <v>750</v>
      </c>
      <c r="J765" s="72"/>
      <c r="K765" s="72"/>
      <c r="L765" s="72"/>
      <c r="M765" s="72"/>
      <c r="N765" s="72"/>
      <c r="O765" s="72"/>
      <c r="P765" s="72"/>
      <c r="Q765" s="63">
        <f t="shared" si="56"/>
        <v>965.26</v>
      </c>
      <c r="R765" s="72">
        <f t="shared" si="56"/>
        <v>0</v>
      </c>
      <c r="S765" s="63">
        <f t="shared" si="57"/>
        <v>965.26</v>
      </c>
    </row>
    <row r="766" spans="1:19" x14ac:dyDescent="0.25">
      <c r="A766" s="116" t="s">
        <v>2607</v>
      </c>
      <c r="B766" s="116" t="s">
        <v>2608</v>
      </c>
      <c r="C766" s="117">
        <v>481</v>
      </c>
      <c r="D766" s="91" t="s">
        <v>2609</v>
      </c>
      <c r="E766" s="91" t="s">
        <v>19</v>
      </c>
      <c r="F766" s="121">
        <v>41615</v>
      </c>
      <c r="G766" s="118">
        <v>170.4</v>
      </c>
      <c r="H766" s="72"/>
      <c r="I766" s="72"/>
      <c r="J766" s="72"/>
      <c r="K766" s="72"/>
      <c r="L766" s="72"/>
      <c r="M766" s="72"/>
      <c r="N766" s="72"/>
      <c r="O766" s="72"/>
      <c r="P766" s="72"/>
      <c r="Q766" s="63">
        <f t="shared" si="56"/>
        <v>170.4</v>
      </c>
      <c r="R766" s="72">
        <f t="shared" si="56"/>
        <v>0</v>
      </c>
      <c r="S766" s="63">
        <f t="shared" si="57"/>
        <v>170.4</v>
      </c>
    </row>
    <row r="767" spans="1:19" x14ac:dyDescent="0.25">
      <c r="A767" s="116" t="s">
        <v>2607</v>
      </c>
      <c r="B767" s="116" t="s">
        <v>2608</v>
      </c>
      <c r="C767" s="117">
        <v>481</v>
      </c>
      <c r="D767" s="91" t="s">
        <v>2610</v>
      </c>
      <c r="E767" s="91" t="s">
        <v>19</v>
      </c>
      <c r="F767" s="121">
        <v>41615</v>
      </c>
      <c r="G767" s="118">
        <f>205.11+47.2</f>
        <v>252.31</v>
      </c>
      <c r="H767" s="72"/>
      <c r="I767" s="72"/>
      <c r="J767" s="72"/>
      <c r="K767" s="72"/>
      <c r="L767" s="72"/>
      <c r="M767" s="72"/>
      <c r="N767" s="72"/>
      <c r="O767" s="72"/>
      <c r="P767" s="72"/>
      <c r="Q767" s="63">
        <f t="shared" si="56"/>
        <v>252.31</v>
      </c>
      <c r="R767" s="72">
        <f t="shared" si="56"/>
        <v>0</v>
      </c>
      <c r="S767" s="63">
        <f t="shared" si="57"/>
        <v>252.31</v>
      </c>
    </row>
    <row r="768" spans="1:19" x14ac:dyDescent="0.25">
      <c r="A768" s="116" t="s">
        <v>2611</v>
      </c>
      <c r="B768" s="116" t="s">
        <v>2612</v>
      </c>
      <c r="C768" s="117">
        <v>482</v>
      </c>
      <c r="D768" s="91" t="s">
        <v>2613</v>
      </c>
      <c r="E768" s="91" t="s">
        <v>19</v>
      </c>
      <c r="F768" s="121">
        <v>41587</v>
      </c>
      <c r="G768" s="118">
        <v>85.57</v>
      </c>
      <c r="H768" s="72"/>
      <c r="I768" s="72"/>
      <c r="J768" s="72"/>
      <c r="K768" s="72"/>
      <c r="L768" s="72"/>
      <c r="M768" s="72"/>
      <c r="N768" s="72"/>
      <c r="O768" s="72"/>
      <c r="P768" s="72"/>
      <c r="Q768" s="63">
        <f t="shared" si="56"/>
        <v>85.57</v>
      </c>
      <c r="R768" s="72">
        <f t="shared" si="56"/>
        <v>0</v>
      </c>
      <c r="S768" s="63">
        <f t="shared" si="57"/>
        <v>85.57</v>
      </c>
    </row>
    <row r="769" spans="1:19" x14ac:dyDescent="0.25">
      <c r="A769" s="116" t="s">
        <v>2614</v>
      </c>
      <c r="B769" s="116" t="s">
        <v>2615</v>
      </c>
      <c r="C769" s="117">
        <v>483</v>
      </c>
      <c r="D769" s="91" t="s">
        <v>2616</v>
      </c>
      <c r="E769" s="91" t="s">
        <v>19</v>
      </c>
      <c r="F769" s="121">
        <v>41587</v>
      </c>
      <c r="G769" s="118">
        <v>130.86000000000001</v>
      </c>
      <c r="H769" s="72"/>
      <c r="I769" s="72"/>
      <c r="J769" s="72"/>
      <c r="K769" s="72"/>
      <c r="L769" s="72"/>
      <c r="M769" s="72"/>
      <c r="N769" s="72"/>
      <c r="O769" s="72"/>
      <c r="P769" s="72"/>
      <c r="Q769" s="63">
        <f t="shared" si="56"/>
        <v>130.86000000000001</v>
      </c>
      <c r="R769" s="72">
        <f t="shared" si="56"/>
        <v>0</v>
      </c>
      <c r="S769" s="63">
        <f t="shared" si="57"/>
        <v>130.86000000000001</v>
      </c>
    </row>
    <row r="770" spans="1:19" x14ac:dyDescent="0.25">
      <c r="A770" s="116" t="s">
        <v>2617</v>
      </c>
      <c r="B770" s="116" t="s">
        <v>2618</v>
      </c>
      <c r="C770" s="117">
        <v>484</v>
      </c>
      <c r="D770" s="91" t="s">
        <v>2619</v>
      </c>
      <c r="E770" s="91" t="s">
        <v>19</v>
      </c>
      <c r="F770" s="121">
        <v>41619</v>
      </c>
      <c r="G770" s="118">
        <v>426.83</v>
      </c>
      <c r="H770" s="72"/>
      <c r="I770" s="72"/>
      <c r="J770" s="72"/>
      <c r="K770" s="72"/>
      <c r="L770" s="72"/>
      <c r="M770" s="72"/>
      <c r="N770" s="72"/>
      <c r="O770" s="72"/>
      <c r="P770" s="72"/>
      <c r="Q770" s="63">
        <f t="shared" si="56"/>
        <v>426.83</v>
      </c>
      <c r="R770" s="72">
        <f t="shared" si="56"/>
        <v>0</v>
      </c>
      <c r="S770" s="63">
        <f t="shared" si="57"/>
        <v>426.83</v>
      </c>
    </row>
    <row r="771" spans="1:19" x14ac:dyDescent="0.25">
      <c r="A771" s="116" t="s">
        <v>2620</v>
      </c>
      <c r="B771" s="116" t="s">
        <v>2621</v>
      </c>
      <c r="C771" s="117">
        <v>485</v>
      </c>
      <c r="D771" s="91" t="s">
        <v>2622</v>
      </c>
      <c r="E771" s="91" t="s">
        <v>19</v>
      </c>
      <c r="F771" s="121">
        <v>41617</v>
      </c>
      <c r="G771" s="118">
        <f>498+75.42+243+358.4</f>
        <v>1174.82</v>
      </c>
      <c r="H771" s="72"/>
      <c r="I771" s="120">
        <v>750</v>
      </c>
      <c r="J771" s="72"/>
      <c r="K771" s="72"/>
      <c r="L771" s="72"/>
      <c r="M771" s="72"/>
      <c r="N771" s="72"/>
      <c r="O771" s="72"/>
      <c r="P771" s="72"/>
      <c r="Q771" s="63">
        <f t="shared" si="56"/>
        <v>1924.82</v>
      </c>
      <c r="R771" s="72">
        <f t="shared" si="56"/>
        <v>0</v>
      </c>
      <c r="S771" s="63">
        <f t="shared" si="57"/>
        <v>1924.82</v>
      </c>
    </row>
    <row r="772" spans="1:19" x14ac:dyDescent="0.25">
      <c r="A772" s="116" t="s">
        <v>2623</v>
      </c>
      <c r="B772" s="116" t="s">
        <v>2624</v>
      </c>
      <c r="C772" s="117">
        <v>486</v>
      </c>
      <c r="D772" s="91" t="s">
        <v>2625</v>
      </c>
      <c r="E772" s="91" t="s">
        <v>19</v>
      </c>
      <c r="F772" s="75">
        <v>41613</v>
      </c>
      <c r="G772" s="118">
        <v>28.65</v>
      </c>
      <c r="H772" s="72"/>
      <c r="I772" s="73"/>
      <c r="J772" s="72"/>
      <c r="K772" s="72"/>
      <c r="L772" s="72"/>
      <c r="M772" s="72"/>
      <c r="N772" s="72"/>
      <c r="O772" s="72"/>
      <c r="P772" s="72"/>
      <c r="Q772" s="63">
        <f t="shared" si="56"/>
        <v>28.65</v>
      </c>
      <c r="R772" s="72">
        <f t="shared" si="56"/>
        <v>0</v>
      </c>
      <c r="S772" s="63">
        <f t="shared" si="57"/>
        <v>28.65</v>
      </c>
    </row>
    <row r="773" spans="1:19" x14ac:dyDescent="0.25">
      <c r="A773" s="116" t="s">
        <v>2623</v>
      </c>
      <c r="B773" s="116" t="s">
        <v>2624</v>
      </c>
      <c r="C773" s="117">
        <v>486</v>
      </c>
      <c r="D773" s="91" t="s">
        <v>2626</v>
      </c>
      <c r="E773" s="91" t="s">
        <v>19</v>
      </c>
      <c r="F773" s="75">
        <v>41613</v>
      </c>
      <c r="G773" s="118">
        <v>83.5</v>
      </c>
      <c r="H773" s="72"/>
      <c r="I773" s="128">
        <v>175</v>
      </c>
      <c r="J773" s="72"/>
      <c r="K773" s="72"/>
      <c r="L773" s="72"/>
      <c r="M773" s="72"/>
      <c r="N773" s="72"/>
      <c r="O773" s="72"/>
      <c r="P773" s="72"/>
      <c r="Q773" s="63">
        <f t="shared" si="56"/>
        <v>258.5</v>
      </c>
      <c r="R773" s="72">
        <f t="shared" si="56"/>
        <v>0</v>
      </c>
      <c r="S773" s="63">
        <f t="shared" si="57"/>
        <v>258.5</v>
      </c>
    </row>
    <row r="774" spans="1:19" x14ac:dyDescent="0.25">
      <c r="A774" s="116" t="s">
        <v>2627</v>
      </c>
      <c r="B774" s="116" t="s">
        <v>2628</v>
      </c>
      <c r="C774" s="117">
        <v>487</v>
      </c>
      <c r="D774" s="91" t="s">
        <v>2629</v>
      </c>
      <c r="E774" s="91" t="s">
        <v>19</v>
      </c>
      <c r="F774" s="75">
        <v>41621</v>
      </c>
      <c r="G774" s="118">
        <f>96.45+75.83+71.65+75.83+96.63+309.06+41.3+348.1+348.1+64.9</f>
        <v>1527.85</v>
      </c>
      <c r="H774" s="72"/>
      <c r="I774" s="120">
        <v>2250</v>
      </c>
      <c r="J774" s="72"/>
      <c r="K774" s="72"/>
      <c r="L774" s="72"/>
      <c r="M774" s="72"/>
      <c r="N774" s="72"/>
      <c r="O774" s="72"/>
      <c r="P774" s="72"/>
      <c r="Q774" s="63">
        <f t="shared" si="56"/>
        <v>3777.85</v>
      </c>
      <c r="R774" s="72">
        <f t="shared" si="56"/>
        <v>0</v>
      </c>
      <c r="S774" s="63">
        <f t="shared" si="57"/>
        <v>3777.85</v>
      </c>
    </row>
    <row r="775" spans="1:19" x14ac:dyDescent="0.25">
      <c r="A775" s="116" t="s">
        <v>2630</v>
      </c>
      <c r="B775" s="116" t="s">
        <v>2631</v>
      </c>
      <c r="C775" s="117">
        <v>488</v>
      </c>
      <c r="D775" s="91" t="s">
        <v>2632</v>
      </c>
      <c r="E775" s="91" t="s">
        <v>19</v>
      </c>
      <c r="F775" s="75">
        <v>41601</v>
      </c>
      <c r="G775" s="118">
        <f>94.4+140.16+118.81+64.9+241.9</f>
        <v>660.17</v>
      </c>
      <c r="H775" s="72"/>
      <c r="I775" s="120">
        <v>125</v>
      </c>
      <c r="J775" s="72"/>
      <c r="K775" s="72"/>
      <c r="L775" s="72"/>
      <c r="M775" s="72"/>
      <c r="N775" s="72"/>
      <c r="O775" s="72"/>
      <c r="P775" s="72"/>
      <c r="Q775" s="63">
        <f t="shared" si="56"/>
        <v>785.17</v>
      </c>
      <c r="R775" s="72">
        <f t="shared" si="56"/>
        <v>0</v>
      </c>
      <c r="S775" s="63">
        <f t="shared" si="57"/>
        <v>785.17</v>
      </c>
    </row>
    <row r="776" spans="1:19" x14ac:dyDescent="0.25">
      <c r="A776" s="116" t="s">
        <v>2633</v>
      </c>
      <c r="B776" s="116" t="s">
        <v>2634</v>
      </c>
      <c r="C776" s="117">
        <v>489</v>
      </c>
      <c r="D776" s="91" t="s">
        <v>2635</v>
      </c>
      <c r="E776" s="91" t="s">
        <v>19</v>
      </c>
      <c r="F776" s="75">
        <v>41597</v>
      </c>
      <c r="G776" s="118">
        <v>76.180000000000007</v>
      </c>
      <c r="H776" s="72"/>
      <c r="I776" s="72"/>
      <c r="J776" s="72"/>
      <c r="K776" s="72"/>
      <c r="L776" s="72"/>
      <c r="M776" s="72"/>
      <c r="N776" s="72"/>
      <c r="O776" s="72"/>
      <c r="P776" s="72"/>
      <c r="Q776" s="63">
        <f t="shared" si="56"/>
        <v>76.180000000000007</v>
      </c>
      <c r="R776" s="72">
        <f t="shared" si="56"/>
        <v>0</v>
      </c>
      <c r="S776" s="63">
        <f t="shared" si="57"/>
        <v>76.180000000000007</v>
      </c>
    </row>
    <row r="777" spans="1:19" x14ac:dyDescent="0.25">
      <c r="A777" s="116" t="s">
        <v>2633</v>
      </c>
      <c r="B777" s="116" t="s">
        <v>2634</v>
      </c>
      <c r="C777" s="117">
        <v>489</v>
      </c>
      <c r="D777" s="91" t="s">
        <v>2636</v>
      </c>
      <c r="E777" s="91" t="s">
        <v>19</v>
      </c>
      <c r="F777" s="75">
        <v>41597</v>
      </c>
      <c r="G777" s="118">
        <v>198.82</v>
      </c>
      <c r="H777" s="72"/>
      <c r="I777" s="72"/>
      <c r="J777" s="72"/>
      <c r="K777" s="72"/>
      <c r="L777" s="72"/>
      <c r="M777" s="72"/>
      <c r="N777" s="72"/>
      <c r="O777" s="72"/>
      <c r="P777" s="72"/>
      <c r="Q777" s="63">
        <f t="shared" si="56"/>
        <v>198.82</v>
      </c>
      <c r="R777" s="72">
        <f t="shared" si="56"/>
        <v>0</v>
      </c>
      <c r="S777" s="63">
        <f t="shared" si="57"/>
        <v>198.82</v>
      </c>
    </row>
    <row r="778" spans="1:19" x14ac:dyDescent="0.25">
      <c r="A778" s="116" t="s">
        <v>2637</v>
      </c>
      <c r="B778" s="116" t="s">
        <v>2638</v>
      </c>
      <c r="C778" s="117">
        <v>490</v>
      </c>
      <c r="D778" s="91" t="s">
        <v>2639</v>
      </c>
      <c r="E778" s="91" t="s">
        <v>19</v>
      </c>
      <c r="F778" s="75">
        <v>41597</v>
      </c>
      <c r="G778" s="118">
        <v>130.81</v>
      </c>
      <c r="H778" s="72"/>
      <c r="I778" s="72"/>
      <c r="J778" s="72"/>
      <c r="K778" s="72"/>
      <c r="L778" s="72"/>
      <c r="M778" s="72"/>
      <c r="N778" s="72"/>
      <c r="O778" s="72"/>
      <c r="P778" s="72"/>
      <c r="Q778" s="63">
        <f t="shared" si="56"/>
        <v>130.81</v>
      </c>
      <c r="R778" s="72">
        <f t="shared" si="56"/>
        <v>0</v>
      </c>
      <c r="S778" s="63">
        <f t="shared" si="57"/>
        <v>130.81</v>
      </c>
    </row>
    <row r="779" spans="1:19" x14ac:dyDescent="0.25">
      <c r="A779" s="116" t="s">
        <v>2640</v>
      </c>
      <c r="B779" s="116" t="s">
        <v>2641</v>
      </c>
      <c r="C779" s="117">
        <v>491</v>
      </c>
      <c r="D779" s="91" t="s">
        <v>2642</v>
      </c>
      <c r="E779" s="91" t="s">
        <v>19</v>
      </c>
      <c r="F779" s="75">
        <v>41597</v>
      </c>
      <c r="G779" s="118">
        <v>125.15</v>
      </c>
      <c r="H779" s="72"/>
      <c r="I779" s="72"/>
      <c r="J779" s="72"/>
      <c r="K779" s="72"/>
      <c r="L779" s="72"/>
      <c r="M779" s="72"/>
      <c r="N779" s="72"/>
      <c r="O779" s="72"/>
      <c r="P779" s="72"/>
      <c r="Q779" s="63">
        <f t="shared" si="56"/>
        <v>125.15</v>
      </c>
      <c r="R779" s="72">
        <f t="shared" si="56"/>
        <v>0</v>
      </c>
      <c r="S779" s="63">
        <f t="shared" si="57"/>
        <v>125.15</v>
      </c>
    </row>
    <row r="780" spans="1:19" x14ac:dyDescent="0.25">
      <c r="A780" s="116" t="s">
        <v>2643</v>
      </c>
      <c r="B780" s="116" t="s">
        <v>2644</v>
      </c>
      <c r="C780" s="117">
        <v>492</v>
      </c>
      <c r="D780" s="91" t="s">
        <v>2645</v>
      </c>
      <c r="E780" s="91" t="s">
        <v>19</v>
      </c>
      <c r="F780" s="75">
        <v>41597</v>
      </c>
      <c r="G780" s="118">
        <v>359.35</v>
      </c>
      <c r="H780" s="72"/>
      <c r="I780" s="72"/>
      <c r="J780" s="72"/>
      <c r="K780" s="72"/>
      <c r="L780" s="72"/>
      <c r="M780" s="72"/>
      <c r="N780" s="72"/>
      <c r="O780" s="72"/>
      <c r="P780" s="72"/>
      <c r="Q780" s="63">
        <f t="shared" si="56"/>
        <v>359.35</v>
      </c>
      <c r="R780" s="72">
        <f t="shared" si="56"/>
        <v>0</v>
      </c>
      <c r="S780" s="63">
        <f t="shared" si="57"/>
        <v>359.35</v>
      </c>
    </row>
    <row r="781" spans="1:19" x14ac:dyDescent="0.25">
      <c r="A781" s="116" t="s">
        <v>2646</v>
      </c>
      <c r="B781" s="116" t="s">
        <v>2647</v>
      </c>
      <c r="C781" s="117">
        <v>493</v>
      </c>
      <c r="D781" s="91" t="s">
        <v>2648</v>
      </c>
      <c r="E781" s="91" t="s">
        <v>19</v>
      </c>
      <c r="F781" s="75">
        <v>41625</v>
      </c>
      <c r="G781" s="118">
        <f>63+41.3+63+285.3+93.35</f>
        <v>545.95000000000005</v>
      </c>
      <c r="H781" s="72"/>
      <c r="I781" s="72"/>
      <c r="J781" s="72"/>
      <c r="K781" s="72"/>
      <c r="L781" s="72"/>
      <c r="M781" s="72"/>
      <c r="N781" s="72"/>
      <c r="O781" s="72"/>
      <c r="P781" s="72"/>
      <c r="Q781" s="63">
        <f t="shared" si="56"/>
        <v>545.95000000000005</v>
      </c>
      <c r="R781" s="72">
        <f t="shared" si="56"/>
        <v>0</v>
      </c>
      <c r="S781" s="63">
        <f t="shared" si="57"/>
        <v>545.95000000000005</v>
      </c>
    </row>
    <row r="782" spans="1:19" x14ac:dyDescent="0.25">
      <c r="A782" s="116" t="s">
        <v>2649</v>
      </c>
      <c r="B782" s="116" t="s">
        <v>2650</v>
      </c>
      <c r="C782" s="117">
        <v>494</v>
      </c>
      <c r="D782" s="91" t="s">
        <v>2651</v>
      </c>
      <c r="E782" s="91" t="s">
        <v>19</v>
      </c>
      <c r="F782" s="75">
        <v>41703</v>
      </c>
      <c r="G782" s="118">
        <v>49</v>
      </c>
      <c r="H782" s="72"/>
      <c r="I782" s="72"/>
      <c r="J782" s="72"/>
      <c r="K782" s="72"/>
      <c r="L782" s="72"/>
      <c r="M782" s="72"/>
      <c r="N782" s="72"/>
      <c r="O782" s="72"/>
      <c r="P782" s="72"/>
      <c r="Q782" s="63">
        <f t="shared" si="56"/>
        <v>49</v>
      </c>
      <c r="R782" s="72">
        <f t="shared" si="56"/>
        <v>0</v>
      </c>
      <c r="S782" s="63">
        <f t="shared" si="57"/>
        <v>49</v>
      </c>
    </row>
    <row r="783" spans="1:19" x14ac:dyDescent="0.25">
      <c r="A783" s="116" t="s">
        <v>2652</v>
      </c>
      <c r="B783" s="116" t="s">
        <v>2653</v>
      </c>
      <c r="C783" s="117">
        <v>495</v>
      </c>
      <c r="D783" s="91" t="s">
        <v>2654</v>
      </c>
      <c r="E783" s="91" t="s">
        <v>19</v>
      </c>
      <c r="F783" s="75">
        <v>41606</v>
      </c>
      <c r="G783" s="118">
        <f>238+227.2</f>
        <v>465.2</v>
      </c>
      <c r="H783" s="72"/>
      <c r="I783" s="72"/>
      <c r="J783" s="72"/>
      <c r="K783" s="72"/>
      <c r="L783" s="72"/>
      <c r="M783" s="72"/>
      <c r="N783" s="72"/>
      <c r="O783" s="72"/>
      <c r="P783" s="72"/>
      <c r="Q783" s="63">
        <f t="shared" si="56"/>
        <v>465.2</v>
      </c>
      <c r="R783" s="72">
        <f t="shared" si="56"/>
        <v>0</v>
      </c>
      <c r="S783" s="63">
        <f t="shared" si="57"/>
        <v>465.2</v>
      </c>
    </row>
    <row r="784" spans="1:19" x14ac:dyDescent="0.25">
      <c r="A784" s="116" t="s">
        <v>2655</v>
      </c>
      <c r="B784" s="116" t="s">
        <v>2656</v>
      </c>
      <c r="C784" s="117">
        <v>496</v>
      </c>
      <c r="D784" s="91" t="s">
        <v>2657</v>
      </c>
      <c r="E784" s="91" t="s">
        <v>19</v>
      </c>
      <c r="F784" s="75">
        <v>41712</v>
      </c>
      <c r="G784" s="118">
        <v>85.67</v>
      </c>
      <c r="H784" s="72"/>
      <c r="I784" s="72"/>
      <c r="J784" s="72"/>
      <c r="K784" s="72"/>
      <c r="L784" s="72"/>
      <c r="M784" s="72"/>
      <c r="N784" s="72"/>
      <c r="O784" s="72"/>
      <c r="P784" s="72"/>
      <c r="Q784" s="63">
        <f t="shared" si="56"/>
        <v>85.67</v>
      </c>
      <c r="R784" s="72">
        <f t="shared" si="56"/>
        <v>0</v>
      </c>
      <c r="S784" s="63">
        <f t="shared" si="57"/>
        <v>85.67</v>
      </c>
    </row>
    <row r="785" spans="1:19" x14ac:dyDescent="0.25">
      <c r="A785" s="116" t="s">
        <v>2658</v>
      </c>
      <c r="B785" s="116" t="s">
        <v>2659</v>
      </c>
      <c r="C785" s="117">
        <v>497</v>
      </c>
      <c r="D785" s="91" t="s">
        <v>2660</v>
      </c>
      <c r="E785" s="91" t="s">
        <v>19</v>
      </c>
      <c r="F785" s="75">
        <v>41736</v>
      </c>
      <c r="G785" s="118">
        <v>47.67</v>
      </c>
      <c r="H785" s="72"/>
      <c r="I785" s="72"/>
      <c r="J785" s="72"/>
      <c r="K785" s="72"/>
      <c r="L785" s="72"/>
      <c r="M785" s="72"/>
      <c r="N785" s="72"/>
      <c r="O785" s="72"/>
      <c r="P785" s="72"/>
      <c r="Q785" s="63">
        <f t="shared" ref="Q785:R848" si="58">+G785+I785+K785+M785+O785</f>
        <v>47.67</v>
      </c>
      <c r="R785" s="72">
        <f t="shared" si="58"/>
        <v>0</v>
      </c>
      <c r="S785" s="63">
        <f t="shared" ref="S785:S848" si="59">+Q785+R785</f>
        <v>47.67</v>
      </c>
    </row>
    <row r="786" spans="1:19" x14ac:dyDescent="0.25">
      <c r="A786" s="116" t="s">
        <v>2661</v>
      </c>
      <c r="B786" s="116" t="s">
        <v>2662</v>
      </c>
      <c r="C786" s="117">
        <v>498</v>
      </c>
      <c r="D786" s="91" t="s">
        <v>2663</v>
      </c>
      <c r="E786" s="91" t="s">
        <v>19</v>
      </c>
      <c r="F786" s="75">
        <v>41603</v>
      </c>
      <c r="G786" s="118">
        <v>172.54</v>
      </c>
      <c r="H786" s="72"/>
      <c r="I786" s="72"/>
      <c r="J786" s="72"/>
      <c r="K786" s="72"/>
      <c r="L786" s="72"/>
      <c r="M786" s="72"/>
      <c r="N786" s="72"/>
      <c r="O786" s="72"/>
      <c r="P786" s="72"/>
      <c r="Q786" s="63">
        <f t="shared" si="58"/>
        <v>172.54</v>
      </c>
      <c r="R786" s="72">
        <f t="shared" si="58"/>
        <v>0</v>
      </c>
      <c r="S786" s="63">
        <f t="shared" si="59"/>
        <v>172.54</v>
      </c>
    </row>
    <row r="787" spans="1:19" x14ac:dyDescent="0.25">
      <c r="A787" s="116" t="s">
        <v>2664</v>
      </c>
      <c r="B787" s="116" t="s">
        <v>2665</v>
      </c>
      <c r="C787" s="117">
        <v>499</v>
      </c>
      <c r="D787" s="91" t="s">
        <v>2666</v>
      </c>
      <c r="E787" s="91" t="s">
        <v>19</v>
      </c>
      <c r="F787" s="75">
        <v>41643</v>
      </c>
      <c r="G787" s="118">
        <f>49.5+35+191</f>
        <v>275.5</v>
      </c>
      <c r="H787" s="72"/>
      <c r="I787" s="72"/>
      <c r="J787" s="72"/>
      <c r="K787" s="72"/>
      <c r="L787" s="72"/>
      <c r="M787" s="72"/>
      <c r="N787" s="72"/>
      <c r="O787" s="72"/>
      <c r="P787" s="72"/>
      <c r="Q787" s="63">
        <f t="shared" si="58"/>
        <v>275.5</v>
      </c>
      <c r="R787" s="72">
        <f t="shared" si="58"/>
        <v>0</v>
      </c>
      <c r="S787" s="63">
        <f t="shared" si="59"/>
        <v>275.5</v>
      </c>
    </row>
    <row r="788" spans="1:19" x14ac:dyDescent="0.25">
      <c r="A788" s="116" t="s">
        <v>2667</v>
      </c>
      <c r="B788" s="116" t="s">
        <v>2668</v>
      </c>
      <c r="C788" s="117">
        <v>501</v>
      </c>
      <c r="D788" s="91" t="s">
        <v>2669</v>
      </c>
      <c r="E788" s="91" t="s">
        <v>19</v>
      </c>
      <c r="F788" s="90"/>
      <c r="G788" s="118"/>
      <c r="H788" s="72"/>
      <c r="I788" s="72"/>
      <c r="J788" s="72"/>
      <c r="K788" s="72"/>
      <c r="L788" s="72"/>
      <c r="M788" s="72"/>
      <c r="N788" s="72"/>
      <c r="O788" s="72"/>
      <c r="P788" s="72"/>
      <c r="Q788" s="63">
        <f t="shared" si="58"/>
        <v>0</v>
      </c>
      <c r="R788" s="72">
        <f t="shared" si="58"/>
        <v>0</v>
      </c>
      <c r="S788" s="63">
        <f t="shared" si="59"/>
        <v>0</v>
      </c>
    </row>
    <row r="789" spans="1:19" x14ac:dyDescent="0.25">
      <c r="A789" s="116" t="s">
        <v>2670</v>
      </c>
      <c r="B789" s="116" t="s">
        <v>2671</v>
      </c>
      <c r="C789" s="117">
        <v>502</v>
      </c>
      <c r="D789" s="91" t="s">
        <v>2672</v>
      </c>
      <c r="E789" s="91" t="s">
        <v>19</v>
      </c>
      <c r="F789" s="92">
        <v>41689</v>
      </c>
      <c r="G789" s="118">
        <v>311</v>
      </c>
      <c r="H789" s="72"/>
      <c r="I789" s="72"/>
      <c r="J789" s="72"/>
      <c r="K789" s="72"/>
      <c r="L789" s="72"/>
      <c r="M789" s="123">
        <v>3700</v>
      </c>
      <c r="N789" s="72"/>
      <c r="O789" s="123">
        <v>14800</v>
      </c>
      <c r="P789" s="72"/>
      <c r="Q789" s="63">
        <f t="shared" si="58"/>
        <v>18811</v>
      </c>
      <c r="R789" s="72">
        <f t="shared" si="58"/>
        <v>0</v>
      </c>
      <c r="S789" s="63">
        <f t="shared" si="59"/>
        <v>18811</v>
      </c>
    </row>
    <row r="790" spans="1:19" x14ac:dyDescent="0.25">
      <c r="A790" s="116" t="s">
        <v>2673</v>
      </c>
      <c r="B790" s="116" t="s">
        <v>2674</v>
      </c>
      <c r="C790" s="117">
        <v>503</v>
      </c>
      <c r="D790" s="91" t="s">
        <v>2675</v>
      </c>
      <c r="E790" s="91" t="s">
        <v>19</v>
      </c>
      <c r="F790" s="92">
        <v>41668</v>
      </c>
      <c r="G790" s="118">
        <f>238+252.25+238+47.2+47.2+48.9+37.19+140.85+34.4+30.1+32.4+96+94.4+61.3+574.3</f>
        <v>1972.49</v>
      </c>
      <c r="H790" s="72"/>
      <c r="I790" s="120">
        <v>750</v>
      </c>
      <c r="J790" s="72"/>
      <c r="K790" s="72"/>
      <c r="L790" s="72"/>
      <c r="M790" s="72"/>
      <c r="N790" s="72"/>
      <c r="O790" s="72"/>
      <c r="P790" s="72"/>
      <c r="Q790" s="63">
        <f t="shared" si="58"/>
        <v>2722.49</v>
      </c>
      <c r="R790" s="72">
        <f t="shared" si="58"/>
        <v>0</v>
      </c>
      <c r="S790" s="63">
        <f t="shared" si="59"/>
        <v>2722.49</v>
      </c>
    </row>
    <row r="791" spans="1:19" x14ac:dyDescent="0.25">
      <c r="A791" s="116" t="s">
        <v>2676</v>
      </c>
      <c r="B791" s="116" t="s">
        <v>2677</v>
      </c>
      <c r="C791" s="117">
        <v>504</v>
      </c>
      <c r="D791" s="91" t="s">
        <v>2678</v>
      </c>
      <c r="E791" s="91" t="s">
        <v>19</v>
      </c>
      <c r="F791" s="92">
        <v>41647</v>
      </c>
      <c r="G791" s="118">
        <f>238+131.92</f>
        <v>369.91999999999996</v>
      </c>
      <c r="H791" s="72"/>
      <c r="I791" s="72"/>
      <c r="J791" s="72"/>
      <c r="K791" s="72"/>
      <c r="L791" s="72"/>
      <c r="M791" s="72"/>
      <c r="N791" s="72"/>
      <c r="O791" s="72"/>
      <c r="P791" s="72"/>
      <c r="Q791" s="63">
        <f t="shared" si="58"/>
        <v>369.91999999999996</v>
      </c>
      <c r="R791" s="72">
        <f t="shared" si="58"/>
        <v>0</v>
      </c>
      <c r="S791" s="63">
        <f t="shared" si="59"/>
        <v>369.91999999999996</v>
      </c>
    </row>
    <row r="792" spans="1:19" x14ac:dyDescent="0.25">
      <c r="A792" s="116" t="s">
        <v>2679</v>
      </c>
      <c r="B792" s="116" t="s">
        <v>2680</v>
      </c>
      <c r="C792" s="117">
        <v>505</v>
      </c>
      <c r="D792" s="91" t="s">
        <v>2681</v>
      </c>
      <c r="E792" s="91" t="s">
        <v>19</v>
      </c>
      <c r="F792" s="92">
        <v>41626</v>
      </c>
      <c r="G792" s="118">
        <v>150.1</v>
      </c>
      <c r="H792" s="72"/>
      <c r="I792" s="72"/>
      <c r="J792" s="72"/>
      <c r="K792" s="72"/>
      <c r="L792" s="72"/>
      <c r="M792" s="72"/>
      <c r="N792" s="72"/>
      <c r="O792" s="72"/>
      <c r="P792" s="72"/>
      <c r="Q792" s="63">
        <f t="shared" si="58"/>
        <v>150.1</v>
      </c>
      <c r="R792" s="72">
        <f t="shared" si="58"/>
        <v>0</v>
      </c>
      <c r="S792" s="63">
        <f t="shared" si="59"/>
        <v>150.1</v>
      </c>
    </row>
    <row r="793" spans="1:19" x14ac:dyDescent="0.25">
      <c r="A793" s="116" t="s">
        <v>2682</v>
      </c>
      <c r="B793" s="116" t="s">
        <v>2683</v>
      </c>
      <c r="C793" s="117">
        <v>506</v>
      </c>
      <c r="D793" s="91" t="s">
        <v>2684</v>
      </c>
      <c r="E793" s="91" t="s">
        <v>19</v>
      </c>
      <c r="F793" s="92">
        <v>41605</v>
      </c>
      <c r="G793" s="118">
        <v>126.67</v>
      </c>
      <c r="H793" s="72"/>
      <c r="I793" s="72"/>
      <c r="J793" s="72"/>
      <c r="K793" s="72"/>
      <c r="L793" s="72"/>
      <c r="M793" s="72"/>
      <c r="N793" s="72"/>
      <c r="O793" s="72"/>
      <c r="P793" s="72"/>
      <c r="Q793" s="63">
        <f t="shared" si="58"/>
        <v>126.67</v>
      </c>
      <c r="R793" s="72">
        <f t="shared" si="58"/>
        <v>0</v>
      </c>
      <c r="S793" s="63">
        <f t="shared" si="59"/>
        <v>126.67</v>
      </c>
    </row>
    <row r="794" spans="1:19" x14ac:dyDescent="0.25">
      <c r="A794" s="116" t="s">
        <v>2685</v>
      </c>
      <c r="B794" s="116" t="s">
        <v>2686</v>
      </c>
      <c r="C794" s="117">
        <v>507</v>
      </c>
      <c r="D794" s="91" t="s">
        <v>2687</v>
      </c>
      <c r="E794" s="91" t="s">
        <v>19</v>
      </c>
      <c r="F794" s="92">
        <v>41584</v>
      </c>
      <c r="G794" s="118">
        <v>167.74</v>
      </c>
      <c r="H794" s="72"/>
      <c r="I794" s="72"/>
      <c r="J794" s="72"/>
      <c r="K794" s="72"/>
      <c r="L794" s="72"/>
      <c r="M794" s="72"/>
      <c r="N794" s="72"/>
      <c r="O794" s="72"/>
      <c r="P794" s="72"/>
      <c r="Q794" s="63">
        <f t="shared" si="58"/>
        <v>167.74</v>
      </c>
      <c r="R794" s="72">
        <f t="shared" si="58"/>
        <v>0</v>
      </c>
      <c r="S794" s="63">
        <f t="shared" si="59"/>
        <v>167.74</v>
      </c>
    </row>
    <row r="795" spans="1:19" x14ac:dyDescent="0.25">
      <c r="A795" s="116" t="s">
        <v>2688</v>
      </c>
      <c r="B795" s="116" t="s">
        <v>2689</v>
      </c>
      <c r="C795" s="117">
        <v>508</v>
      </c>
      <c r="D795" s="91" t="s">
        <v>2690</v>
      </c>
      <c r="E795" s="91" t="s">
        <v>19</v>
      </c>
      <c r="F795" s="92">
        <v>41563</v>
      </c>
      <c r="G795" s="118">
        <v>326.74</v>
      </c>
      <c r="H795" s="72"/>
      <c r="I795" s="72"/>
      <c r="J795" s="72"/>
      <c r="K795" s="72"/>
      <c r="L795" s="72"/>
      <c r="M795" s="72"/>
      <c r="N795" s="72"/>
      <c r="O795" s="72"/>
      <c r="P795" s="72"/>
      <c r="Q795" s="63">
        <f t="shared" si="58"/>
        <v>326.74</v>
      </c>
      <c r="R795" s="72">
        <f t="shared" si="58"/>
        <v>0</v>
      </c>
      <c r="S795" s="63">
        <f t="shared" si="59"/>
        <v>326.74</v>
      </c>
    </row>
    <row r="796" spans="1:19" x14ac:dyDescent="0.25">
      <c r="A796" s="116" t="s">
        <v>2691</v>
      </c>
      <c r="B796" s="116" t="s">
        <v>963</v>
      </c>
      <c r="C796" s="117">
        <v>509</v>
      </c>
      <c r="D796" s="91" t="s">
        <v>2692</v>
      </c>
      <c r="E796" s="91" t="s">
        <v>19</v>
      </c>
      <c r="F796" s="92">
        <v>41542</v>
      </c>
      <c r="G796" s="118">
        <v>144.08000000000001</v>
      </c>
      <c r="H796" s="72"/>
      <c r="I796" s="72"/>
      <c r="J796" s="72"/>
      <c r="K796" s="72"/>
      <c r="L796" s="72"/>
      <c r="M796" s="72"/>
      <c r="N796" s="72"/>
      <c r="O796" s="72"/>
      <c r="P796" s="72"/>
      <c r="Q796" s="63">
        <f t="shared" si="58"/>
        <v>144.08000000000001</v>
      </c>
      <c r="R796" s="72">
        <f t="shared" si="58"/>
        <v>0</v>
      </c>
      <c r="S796" s="63">
        <f t="shared" si="59"/>
        <v>144.08000000000001</v>
      </c>
    </row>
    <row r="797" spans="1:19" x14ac:dyDescent="0.25">
      <c r="A797" s="116">
        <v>1</v>
      </c>
      <c r="B797" s="116" t="s">
        <v>2693</v>
      </c>
      <c r="C797" s="117">
        <v>510</v>
      </c>
      <c r="D797" s="91" t="s">
        <v>2694</v>
      </c>
      <c r="E797" s="91" t="s">
        <v>19</v>
      </c>
      <c r="F797" s="92">
        <v>41521</v>
      </c>
      <c r="G797" s="118">
        <v>190.98</v>
      </c>
      <c r="H797" s="72"/>
      <c r="I797" s="72"/>
      <c r="J797" s="72"/>
      <c r="K797" s="72"/>
      <c r="L797" s="72"/>
      <c r="M797" s="72"/>
      <c r="N797" s="72"/>
      <c r="O797" s="72"/>
      <c r="P797" s="72"/>
      <c r="Q797" s="63">
        <f t="shared" si="58"/>
        <v>190.98</v>
      </c>
      <c r="R797" s="72">
        <f t="shared" si="58"/>
        <v>0</v>
      </c>
      <c r="S797" s="63">
        <f t="shared" si="59"/>
        <v>190.98</v>
      </c>
    </row>
    <row r="798" spans="1:19" x14ac:dyDescent="0.25">
      <c r="A798" s="116" t="s">
        <v>2695</v>
      </c>
      <c r="B798" s="116" t="s">
        <v>2696</v>
      </c>
      <c r="C798" s="117">
        <v>511</v>
      </c>
      <c r="D798" s="91" t="s">
        <v>2697</v>
      </c>
      <c r="E798" s="91" t="s">
        <v>19</v>
      </c>
      <c r="F798" s="92">
        <v>41500</v>
      </c>
      <c r="G798" s="118">
        <v>82.6</v>
      </c>
      <c r="H798" s="72"/>
      <c r="I798" s="72"/>
      <c r="J798" s="72"/>
      <c r="K798" s="72"/>
      <c r="L798" s="72"/>
      <c r="M798" s="72"/>
      <c r="N798" s="72"/>
      <c r="O798" s="72"/>
      <c r="P798" s="72"/>
      <c r="Q798" s="63">
        <f t="shared" si="58"/>
        <v>82.6</v>
      </c>
      <c r="R798" s="72">
        <f t="shared" si="58"/>
        <v>0</v>
      </c>
      <c r="S798" s="63">
        <f t="shared" si="59"/>
        <v>82.6</v>
      </c>
    </row>
    <row r="799" spans="1:19" x14ac:dyDescent="0.25">
      <c r="A799" s="116" t="s">
        <v>2698</v>
      </c>
      <c r="B799" s="116" t="s">
        <v>2699</v>
      </c>
      <c r="C799" s="117">
        <v>512</v>
      </c>
      <c r="D799" s="91" t="s">
        <v>2700</v>
      </c>
      <c r="E799" s="91" t="s">
        <v>19</v>
      </c>
      <c r="F799" s="92">
        <v>41458</v>
      </c>
      <c r="G799" s="118">
        <v>47.2</v>
      </c>
      <c r="H799" s="72"/>
      <c r="I799" s="72"/>
      <c r="J799" s="72"/>
      <c r="K799" s="72"/>
      <c r="L799" s="72"/>
      <c r="M799" s="72"/>
      <c r="N799" s="72"/>
      <c r="O799" s="72"/>
      <c r="P799" s="72"/>
      <c r="Q799" s="63">
        <f t="shared" si="58"/>
        <v>47.2</v>
      </c>
      <c r="R799" s="72">
        <f t="shared" si="58"/>
        <v>0</v>
      </c>
      <c r="S799" s="63">
        <f t="shared" si="59"/>
        <v>47.2</v>
      </c>
    </row>
    <row r="800" spans="1:19" x14ac:dyDescent="0.25">
      <c r="A800" s="116" t="s">
        <v>2698</v>
      </c>
      <c r="B800" s="116" t="s">
        <v>2699</v>
      </c>
      <c r="C800" s="117">
        <v>512</v>
      </c>
      <c r="D800" s="91" t="s">
        <v>2701</v>
      </c>
      <c r="E800" s="91" t="s">
        <v>19</v>
      </c>
      <c r="F800" s="92">
        <v>41458</v>
      </c>
      <c r="G800" s="118"/>
      <c r="H800" s="72"/>
      <c r="I800" s="72"/>
      <c r="J800" s="72"/>
      <c r="K800" s="72"/>
      <c r="L800" s="72"/>
      <c r="M800" s="72"/>
      <c r="N800" s="72"/>
      <c r="O800" s="72"/>
      <c r="P800" s="72"/>
      <c r="Q800" s="63">
        <f t="shared" si="58"/>
        <v>0</v>
      </c>
      <c r="R800" s="72">
        <f t="shared" si="58"/>
        <v>0</v>
      </c>
      <c r="S800" s="63">
        <f t="shared" si="59"/>
        <v>0</v>
      </c>
    </row>
    <row r="801" spans="1:19" x14ac:dyDescent="0.25">
      <c r="A801" s="116" t="s">
        <v>2702</v>
      </c>
      <c r="B801" s="116" t="s">
        <v>2703</v>
      </c>
      <c r="C801" s="117">
        <v>513</v>
      </c>
      <c r="D801" s="91" t="s">
        <v>2704</v>
      </c>
      <c r="E801" s="91" t="s">
        <v>19</v>
      </c>
      <c r="F801" s="92">
        <v>41437</v>
      </c>
      <c r="G801" s="118">
        <v>92.51</v>
      </c>
      <c r="H801" s="72"/>
      <c r="I801" s="72"/>
      <c r="J801" s="72"/>
      <c r="K801" s="72"/>
      <c r="L801" s="72"/>
      <c r="M801" s="72"/>
      <c r="N801" s="72"/>
      <c r="O801" s="72"/>
      <c r="P801" s="72"/>
      <c r="Q801" s="63">
        <f t="shared" si="58"/>
        <v>92.51</v>
      </c>
      <c r="R801" s="72">
        <f t="shared" si="58"/>
        <v>0</v>
      </c>
      <c r="S801" s="63">
        <f t="shared" si="59"/>
        <v>92.51</v>
      </c>
    </row>
    <row r="802" spans="1:19" x14ac:dyDescent="0.25">
      <c r="A802" s="116" t="s">
        <v>2705</v>
      </c>
      <c r="B802" s="116" t="s">
        <v>2706</v>
      </c>
      <c r="C802" s="117">
        <v>514</v>
      </c>
      <c r="D802" s="91" t="s">
        <v>2707</v>
      </c>
      <c r="E802" s="91" t="s">
        <v>19</v>
      </c>
      <c r="F802" s="92">
        <v>41416</v>
      </c>
      <c r="G802" s="118">
        <v>93.57</v>
      </c>
      <c r="H802" s="72"/>
      <c r="I802" s="72"/>
      <c r="J802" s="72"/>
      <c r="K802" s="72"/>
      <c r="L802" s="72"/>
      <c r="M802" s="72"/>
      <c r="N802" s="72"/>
      <c r="O802" s="72"/>
      <c r="P802" s="72"/>
      <c r="Q802" s="63">
        <f t="shared" si="58"/>
        <v>93.57</v>
      </c>
      <c r="R802" s="72">
        <f t="shared" si="58"/>
        <v>0</v>
      </c>
      <c r="S802" s="63">
        <f t="shared" si="59"/>
        <v>93.57</v>
      </c>
    </row>
    <row r="803" spans="1:19" x14ac:dyDescent="0.25">
      <c r="A803" s="116" t="s">
        <v>2705</v>
      </c>
      <c r="B803" s="116" t="s">
        <v>2706</v>
      </c>
      <c r="C803" s="117">
        <v>514</v>
      </c>
      <c r="D803" s="91" t="s">
        <v>2708</v>
      </c>
      <c r="E803" s="91" t="s">
        <v>19</v>
      </c>
      <c r="F803" s="92">
        <v>41416</v>
      </c>
      <c r="G803" s="118">
        <v>159.18</v>
      </c>
      <c r="H803" s="72"/>
      <c r="I803" s="72"/>
      <c r="J803" s="72"/>
      <c r="K803" s="72"/>
      <c r="L803" s="72"/>
      <c r="M803" s="72"/>
      <c r="N803" s="72"/>
      <c r="O803" s="72"/>
      <c r="P803" s="72"/>
      <c r="Q803" s="63">
        <f t="shared" si="58"/>
        <v>159.18</v>
      </c>
      <c r="R803" s="72">
        <f t="shared" si="58"/>
        <v>0</v>
      </c>
      <c r="S803" s="63">
        <f t="shared" si="59"/>
        <v>159.18</v>
      </c>
    </row>
    <row r="804" spans="1:19" x14ac:dyDescent="0.25">
      <c r="A804" s="116" t="s">
        <v>2709</v>
      </c>
      <c r="B804" s="116" t="s">
        <v>2710</v>
      </c>
      <c r="C804" s="117">
        <v>515</v>
      </c>
      <c r="D804" s="91" t="s">
        <v>2711</v>
      </c>
      <c r="E804" s="91" t="s">
        <v>19</v>
      </c>
      <c r="F804" s="92">
        <v>41647</v>
      </c>
      <c r="G804" s="118">
        <v>83.01</v>
      </c>
      <c r="H804" s="72"/>
      <c r="I804" s="72"/>
      <c r="J804" s="72"/>
      <c r="K804" s="72"/>
      <c r="L804" s="72"/>
      <c r="M804" s="72"/>
      <c r="N804" s="72"/>
      <c r="O804" s="72"/>
      <c r="P804" s="72"/>
      <c r="Q804" s="63">
        <f t="shared" si="58"/>
        <v>83.01</v>
      </c>
      <c r="R804" s="72">
        <f t="shared" si="58"/>
        <v>0</v>
      </c>
      <c r="S804" s="63">
        <f t="shared" si="59"/>
        <v>83.01</v>
      </c>
    </row>
    <row r="805" spans="1:19" x14ac:dyDescent="0.25">
      <c r="A805" s="116" t="s">
        <v>2712</v>
      </c>
      <c r="B805" s="116" t="s">
        <v>2713</v>
      </c>
      <c r="C805" s="117">
        <v>516</v>
      </c>
      <c r="D805" s="91" t="s">
        <v>2714</v>
      </c>
      <c r="E805" s="91" t="s">
        <v>19</v>
      </c>
      <c r="F805" s="92">
        <v>41647</v>
      </c>
      <c r="G805" s="118">
        <v>126.61</v>
      </c>
      <c r="H805" s="72"/>
      <c r="I805" s="72"/>
      <c r="J805" s="72"/>
      <c r="K805" s="72"/>
      <c r="L805" s="72"/>
      <c r="M805" s="72"/>
      <c r="N805" s="72"/>
      <c r="O805" s="72"/>
      <c r="P805" s="72"/>
      <c r="Q805" s="63">
        <f t="shared" si="58"/>
        <v>126.61</v>
      </c>
      <c r="R805" s="72">
        <f t="shared" si="58"/>
        <v>0</v>
      </c>
      <c r="S805" s="63">
        <f t="shared" si="59"/>
        <v>126.61</v>
      </c>
    </row>
    <row r="806" spans="1:19" x14ac:dyDescent="0.25">
      <c r="A806" s="116" t="s">
        <v>2715</v>
      </c>
      <c r="B806" s="116" t="s">
        <v>2716</v>
      </c>
      <c r="C806" s="117">
        <v>517</v>
      </c>
      <c r="D806" s="91" t="s">
        <v>2717</v>
      </c>
      <c r="E806" s="91" t="s">
        <v>19</v>
      </c>
      <c r="F806" s="92">
        <v>41647</v>
      </c>
      <c r="G806" s="118">
        <v>139.1</v>
      </c>
      <c r="H806" s="72"/>
      <c r="I806" s="72"/>
      <c r="J806" s="72"/>
      <c r="K806" s="72"/>
      <c r="L806" s="72"/>
      <c r="M806" s="72"/>
      <c r="N806" s="72"/>
      <c r="O806" s="72"/>
      <c r="P806" s="72"/>
      <c r="Q806" s="63">
        <f t="shared" si="58"/>
        <v>139.1</v>
      </c>
      <c r="R806" s="72">
        <f t="shared" si="58"/>
        <v>0</v>
      </c>
      <c r="S806" s="63">
        <f t="shared" si="59"/>
        <v>139.1</v>
      </c>
    </row>
    <row r="807" spans="1:19" x14ac:dyDescent="0.25">
      <c r="A807" s="116" t="s">
        <v>2640</v>
      </c>
      <c r="B807" s="116" t="s">
        <v>2641</v>
      </c>
      <c r="C807" s="117">
        <v>518</v>
      </c>
      <c r="D807" s="91" t="s">
        <v>2718</v>
      </c>
      <c r="E807" s="91" t="s">
        <v>19</v>
      </c>
      <c r="F807" s="92">
        <v>41649</v>
      </c>
      <c r="G807" s="118">
        <v>84</v>
      </c>
      <c r="H807" s="72"/>
      <c r="I807" s="72"/>
      <c r="J807" s="72"/>
      <c r="K807" s="72"/>
      <c r="L807" s="72"/>
      <c r="M807" s="72"/>
      <c r="N807" s="72"/>
      <c r="O807" s="72"/>
      <c r="P807" s="72"/>
      <c r="Q807" s="63">
        <f t="shared" si="58"/>
        <v>84</v>
      </c>
      <c r="R807" s="72">
        <f t="shared" si="58"/>
        <v>0</v>
      </c>
      <c r="S807" s="63">
        <f t="shared" si="59"/>
        <v>84</v>
      </c>
    </row>
    <row r="808" spans="1:19" x14ac:dyDescent="0.25">
      <c r="A808" s="116" t="s">
        <v>2640</v>
      </c>
      <c r="B808" s="116" t="s">
        <v>2641</v>
      </c>
      <c r="C808" s="117">
        <v>518</v>
      </c>
      <c r="D808" s="91" t="s">
        <v>2719</v>
      </c>
      <c r="E808" s="91" t="s">
        <v>19</v>
      </c>
      <c r="F808" s="92">
        <v>41649</v>
      </c>
      <c r="G808" s="118">
        <v>193.2</v>
      </c>
      <c r="H808" s="72"/>
      <c r="I808" s="72"/>
      <c r="J808" s="72"/>
      <c r="K808" s="72"/>
      <c r="L808" s="72"/>
      <c r="M808" s="72"/>
      <c r="N808" s="72"/>
      <c r="O808" s="72"/>
      <c r="P808" s="72"/>
      <c r="Q808" s="63">
        <f t="shared" si="58"/>
        <v>193.2</v>
      </c>
      <c r="R808" s="72">
        <f t="shared" si="58"/>
        <v>0</v>
      </c>
      <c r="S808" s="63">
        <f t="shared" si="59"/>
        <v>193.2</v>
      </c>
    </row>
    <row r="809" spans="1:19" x14ac:dyDescent="0.25">
      <c r="A809" s="116" t="s">
        <v>2640</v>
      </c>
      <c r="B809" s="116" t="s">
        <v>2641</v>
      </c>
      <c r="C809" s="117">
        <v>518</v>
      </c>
      <c r="D809" s="91" t="s">
        <v>2720</v>
      </c>
      <c r="E809" s="91" t="s">
        <v>19</v>
      </c>
      <c r="F809" s="92">
        <v>41649</v>
      </c>
      <c r="G809" s="118">
        <v>84</v>
      </c>
      <c r="H809" s="72"/>
      <c r="I809" s="72"/>
      <c r="J809" s="72"/>
      <c r="K809" s="72"/>
      <c r="L809" s="72"/>
      <c r="M809" s="72"/>
      <c r="N809" s="72"/>
      <c r="O809" s="72"/>
      <c r="P809" s="72"/>
      <c r="Q809" s="63">
        <f t="shared" si="58"/>
        <v>84</v>
      </c>
      <c r="R809" s="72">
        <f t="shared" si="58"/>
        <v>0</v>
      </c>
      <c r="S809" s="63">
        <f t="shared" si="59"/>
        <v>84</v>
      </c>
    </row>
    <row r="810" spans="1:19" x14ac:dyDescent="0.25">
      <c r="A810" s="116" t="s">
        <v>2640</v>
      </c>
      <c r="B810" s="116" t="s">
        <v>2641</v>
      </c>
      <c r="C810" s="117">
        <v>518</v>
      </c>
      <c r="D810" s="91" t="s">
        <v>2721</v>
      </c>
      <c r="E810" s="91" t="s">
        <v>19</v>
      </c>
      <c r="F810" s="92">
        <v>41649</v>
      </c>
      <c r="G810" s="118">
        <v>2398.31</v>
      </c>
      <c r="H810" s="72"/>
      <c r="I810" s="72"/>
      <c r="J810" s="72"/>
      <c r="K810" s="72"/>
      <c r="L810" s="72"/>
      <c r="M810" s="72"/>
      <c r="N810" s="72"/>
      <c r="O810" s="72"/>
      <c r="P810" s="72"/>
      <c r="Q810" s="63">
        <f t="shared" si="58"/>
        <v>2398.31</v>
      </c>
      <c r="R810" s="72">
        <f t="shared" si="58"/>
        <v>0</v>
      </c>
      <c r="S810" s="63">
        <f t="shared" si="59"/>
        <v>2398.31</v>
      </c>
    </row>
    <row r="811" spans="1:19" x14ac:dyDescent="0.25">
      <c r="A811" s="116" t="s">
        <v>2722</v>
      </c>
      <c r="B811" s="116" t="s">
        <v>2723</v>
      </c>
      <c r="C811" s="117">
        <v>519</v>
      </c>
      <c r="D811" s="91" t="s">
        <v>2724</v>
      </c>
      <c r="E811" s="91" t="s">
        <v>19</v>
      </c>
      <c r="F811" s="92">
        <v>41620</v>
      </c>
      <c r="G811" s="118">
        <v>270.72000000000003</v>
      </c>
      <c r="H811" s="72"/>
      <c r="I811" s="72"/>
      <c r="J811" s="72"/>
      <c r="K811" s="72"/>
      <c r="L811" s="72"/>
      <c r="M811" s="72"/>
      <c r="N811" s="72"/>
      <c r="O811" s="72"/>
      <c r="P811" s="72"/>
      <c r="Q811" s="63">
        <f t="shared" si="58"/>
        <v>270.72000000000003</v>
      </c>
      <c r="R811" s="72">
        <f t="shared" si="58"/>
        <v>0</v>
      </c>
      <c r="S811" s="63">
        <f t="shared" si="59"/>
        <v>270.72000000000003</v>
      </c>
    </row>
    <row r="812" spans="1:19" x14ac:dyDescent="0.25">
      <c r="A812" s="116" t="s">
        <v>2722</v>
      </c>
      <c r="B812" s="116" t="s">
        <v>2723</v>
      </c>
      <c r="C812" s="117">
        <v>519</v>
      </c>
      <c r="D812" s="91" t="s">
        <v>2725</v>
      </c>
      <c r="E812" s="91" t="s">
        <v>19</v>
      </c>
      <c r="F812" s="92">
        <v>41620</v>
      </c>
      <c r="G812" s="118">
        <v>123.9</v>
      </c>
      <c r="H812" s="72"/>
      <c r="I812" s="72"/>
      <c r="J812" s="72"/>
      <c r="K812" s="72"/>
      <c r="L812" s="72"/>
      <c r="M812" s="72"/>
      <c r="N812" s="72"/>
      <c r="O812" s="72"/>
      <c r="P812" s="72"/>
      <c r="Q812" s="63">
        <f t="shared" si="58"/>
        <v>123.9</v>
      </c>
      <c r="R812" s="72">
        <f t="shared" si="58"/>
        <v>0</v>
      </c>
      <c r="S812" s="63">
        <f t="shared" si="59"/>
        <v>123.9</v>
      </c>
    </row>
    <row r="813" spans="1:19" x14ac:dyDescent="0.25">
      <c r="A813" s="116" t="s">
        <v>2726</v>
      </c>
      <c r="B813" s="116" t="s">
        <v>2727</v>
      </c>
      <c r="C813" s="117">
        <v>520</v>
      </c>
      <c r="D813" s="91" t="s">
        <v>2728</v>
      </c>
      <c r="E813" s="91" t="s">
        <v>19</v>
      </c>
      <c r="F813" s="92">
        <v>41622</v>
      </c>
      <c r="G813" s="118">
        <v>284.89999999999998</v>
      </c>
      <c r="H813" s="72"/>
      <c r="I813" s="72"/>
      <c r="J813" s="72"/>
      <c r="K813" s="72"/>
      <c r="L813" s="72"/>
      <c r="M813" s="72"/>
      <c r="N813" s="72"/>
      <c r="O813" s="72"/>
      <c r="P813" s="72"/>
      <c r="Q813" s="63">
        <f t="shared" si="58"/>
        <v>284.89999999999998</v>
      </c>
      <c r="R813" s="72">
        <f t="shared" si="58"/>
        <v>0</v>
      </c>
      <c r="S813" s="63">
        <f t="shared" si="59"/>
        <v>284.89999999999998</v>
      </c>
    </row>
    <row r="814" spans="1:19" x14ac:dyDescent="0.25">
      <c r="A814" s="116" t="s">
        <v>2726</v>
      </c>
      <c r="B814" s="116" t="s">
        <v>2727</v>
      </c>
      <c r="C814" s="117">
        <v>520</v>
      </c>
      <c r="D814" s="91" t="s">
        <v>2729</v>
      </c>
      <c r="E814" s="91" t="s">
        <v>19</v>
      </c>
      <c r="F814" s="92">
        <v>41622</v>
      </c>
      <c r="G814" s="118">
        <f>40</f>
        <v>40</v>
      </c>
      <c r="H814" s="72"/>
      <c r="I814" s="72"/>
      <c r="J814" s="72"/>
      <c r="K814" s="72"/>
      <c r="L814" s="72"/>
      <c r="M814" s="72"/>
      <c r="N814" s="72"/>
      <c r="O814" s="72"/>
      <c r="P814" s="72"/>
      <c r="Q814" s="63">
        <f t="shared" si="58"/>
        <v>40</v>
      </c>
      <c r="R814" s="72">
        <f t="shared" si="58"/>
        <v>0</v>
      </c>
      <c r="S814" s="63">
        <f t="shared" si="59"/>
        <v>40</v>
      </c>
    </row>
    <row r="815" spans="1:19" x14ac:dyDescent="0.25">
      <c r="A815" s="116" t="s">
        <v>2730</v>
      </c>
      <c r="B815" s="116" t="s">
        <v>2731</v>
      </c>
      <c r="C815" s="117">
        <v>521</v>
      </c>
      <c r="D815" s="91" t="s">
        <v>2732</v>
      </c>
      <c r="E815" s="91" t="s">
        <v>19</v>
      </c>
      <c r="F815" s="92">
        <v>41656</v>
      </c>
      <c r="G815" s="118">
        <v>59.7</v>
      </c>
      <c r="H815" s="72"/>
      <c r="I815" s="72"/>
      <c r="J815" s="72"/>
      <c r="K815" s="72"/>
      <c r="L815" s="72"/>
      <c r="M815" s="72"/>
      <c r="N815" s="72"/>
      <c r="O815" s="72"/>
      <c r="P815" s="72"/>
      <c r="Q815" s="63">
        <f t="shared" si="58"/>
        <v>59.7</v>
      </c>
      <c r="R815" s="72">
        <f t="shared" si="58"/>
        <v>0</v>
      </c>
      <c r="S815" s="63">
        <f t="shared" si="59"/>
        <v>59.7</v>
      </c>
    </row>
    <row r="816" spans="1:19" x14ac:dyDescent="0.25">
      <c r="A816" s="116" t="s">
        <v>2733</v>
      </c>
      <c r="B816" s="116" t="s">
        <v>2734</v>
      </c>
      <c r="C816" s="117">
        <v>522</v>
      </c>
      <c r="D816" s="91" t="s">
        <v>2735</v>
      </c>
      <c r="E816" s="91" t="s">
        <v>19</v>
      </c>
      <c r="F816" s="92">
        <v>41627</v>
      </c>
      <c r="G816" s="118">
        <v>282.82</v>
      </c>
      <c r="H816" s="72"/>
      <c r="I816" s="72"/>
      <c r="J816" s="72"/>
      <c r="K816" s="72"/>
      <c r="L816" s="72"/>
      <c r="M816" s="72"/>
      <c r="N816" s="72"/>
      <c r="O816" s="72"/>
      <c r="P816" s="72"/>
      <c r="Q816" s="63">
        <f t="shared" si="58"/>
        <v>282.82</v>
      </c>
      <c r="R816" s="72">
        <f t="shared" si="58"/>
        <v>0</v>
      </c>
      <c r="S816" s="63">
        <f t="shared" si="59"/>
        <v>282.82</v>
      </c>
    </row>
    <row r="817" spans="1:19" x14ac:dyDescent="0.25">
      <c r="A817" s="116" t="s">
        <v>2736</v>
      </c>
      <c r="B817" s="116" t="s">
        <v>2737</v>
      </c>
      <c r="C817" s="117">
        <v>523</v>
      </c>
      <c r="D817" s="91" t="s">
        <v>2738</v>
      </c>
      <c r="E817" s="91" t="s">
        <v>19</v>
      </c>
      <c r="F817" s="92">
        <v>41635</v>
      </c>
      <c r="G817" s="118">
        <f>99.28+141.6+76.6+238+47.2+31.4+47.2+118+47.2+47.2+31.76+224.8+78.11+47.2+45+206.5+41.3</f>
        <v>1568.3500000000001</v>
      </c>
      <c r="H817" s="72"/>
      <c r="I817" s="120">
        <v>1500</v>
      </c>
      <c r="J817" s="72"/>
      <c r="K817" s="72"/>
      <c r="L817" s="72"/>
      <c r="M817" s="72"/>
      <c r="N817" s="72"/>
      <c r="O817" s="72"/>
      <c r="P817" s="72"/>
      <c r="Q817" s="63">
        <f t="shared" si="58"/>
        <v>3068.3500000000004</v>
      </c>
      <c r="R817" s="72">
        <f t="shared" si="58"/>
        <v>0</v>
      </c>
      <c r="S817" s="63">
        <f t="shared" si="59"/>
        <v>3068.3500000000004</v>
      </c>
    </row>
    <row r="818" spans="1:19" x14ac:dyDescent="0.25">
      <c r="A818" s="116" t="s">
        <v>2739</v>
      </c>
      <c r="B818" s="116" t="s">
        <v>2740</v>
      </c>
      <c r="C818" s="117">
        <v>524</v>
      </c>
      <c r="D818" s="91" t="s">
        <v>2741</v>
      </c>
      <c r="E818" s="91" t="s">
        <v>19</v>
      </c>
      <c r="F818" s="92">
        <v>41636</v>
      </c>
      <c r="G818" s="118">
        <f>610+280+320+16950</f>
        <v>18160</v>
      </c>
      <c r="H818" s="72"/>
      <c r="I818" s="63">
        <v>3750</v>
      </c>
      <c r="J818" s="72"/>
      <c r="K818" s="72"/>
      <c r="L818" s="72"/>
      <c r="M818" s="72"/>
      <c r="N818" s="72"/>
      <c r="O818" s="72"/>
      <c r="P818" s="72"/>
      <c r="Q818" s="63">
        <f t="shared" si="58"/>
        <v>21910</v>
      </c>
      <c r="R818" s="72">
        <f t="shared" si="58"/>
        <v>0</v>
      </c>
      <c r="S818" s="63">
        <f t="shared" si="59"/>
        <v>21910</v>
      </c>
    </row>
    <row r="819" spans="1:19" x14ac:dyDescent="0.25">
      <c r="A819" s="116" t="s">
        <v>2739</v>
      </c>
      <c r="B819" s="116" t="s">
        <v>2740</v>
      </c>
      <c r="C819" s="117">
        <v>524</v>
      </c>
      <c r="D819" s="91" t="s">
        <v>2742</v>
      </c>
      <c r="E819" s="91" t="s">
        <v>19</v>
      </c>
      <c r="F819" s="92">
        <v>41636</v>
      </c>
      <c r="G819" s="118">
        <f>320+70.3+260+20+260+335+17.58+335+2255.16+113.63+227.32+41.3+152.2</f>
        <v>4407.49</v>
      </c>
      <c r="H819" s="72"/>
      <c r="I819" s="63">
        <f>750/30*136</f>
        <v>3400</v>
      </c>
      <c r="J819" s="72"/>
      <c r="K819" s="72"/>
      <c r="L819" s="72"/>
      <c r="M819" s="72"/>
      <c r="N819" s="72"/>
      <c r="O819" s="72"/>
      <c r="P819" s="72"/>
      <c r="Q819" s="63">
        <f t="shared" si="58"/>
        <v>7807.49</v>
      </c>
      <c r="R819" s="72">
        <f t="shared" si="58"/>
        <v>0</v>
      </c>
      <c r="S819" s="63">
        <f t="shared" si="59"/>
        <v>7807.49</v>
      </c>
    </row>
    <row r="820" spans="1:19" x14ac:dyDescent="0.25">
      <c r="A820" s="116" t="s">
        <v>2739</v>
      </c>
      <c r="B820" s="116" t="s">
        <v>2740</v>
      </c>
      <c r="C820" s="117">
        <v>524</v>
      </c>
      <c r="D820" s="91" t="s">
        <v>2743</v>
      </c>
      <c r="E820" s="91" t="s">
        <v>19</v>
      </c>
      <c r="F820" s="92">
        <v>41636</v>
      </c>
      <c r="G820" s="118">
        <f>34.4+233+35+260+260+186+2338.3</f>
        <v>3346.7000000000003</v>
      </c>
      <c r="H820" s="72"/>
      <c r="I820" s="129">
        <v>3000</v>
      </c>
      <c r="J820" s="72"/>
      <c r="K820" s="72"/>
      <c r="L820" s="72"/>
      <c r="M820" s="72"/>
      <c r="N820" s="72"/>
      <c r="O820" s="72"/>
      <c r="P820" s="72"/>
      <c r="Q820" s="63">
        <f t="shared" si="58"/>
        <v>6346.7000000000007</v>
      </c>
      <c r="R820" s="72">
        <f t="shared" si="58"/>
        <v>0</v>
      </c>
      <c r="S820" s="63">
        <f t="shared" si="59"/>
        <v>6346.7000000000007</v>
      </c>
    </row>
    <row r="821" spans="1:19" x14ac:dyDescent="0.25">
      <c r="A821" s="116" t="s">
        <v>2739</v>
      </c>
      <c r="B821" s="116" t="s">
        <v>2740</v>
      </c>
      <c r="C821" s="117">
        <v>524</v>
      </c>
      <c r="D821" s="91" t="s">
        <v>2744</v>
      </c>
      <c r="E821" s="91" t="s">
        <v>19</v>
      </c>
      <c r="F821" s="92">
        <v>41636</v>
      </c>
      <c r="G821" s="118">
        <f>159.56+218.69+102+221.62+260+151.19+76.31+260+171+68.74+234+41.3+260+107</f>
        <v>2331.41</v>
      </c>
      <c r="H821" s="72"/>
      <c r="I821" s="63">
        <v>3700</v>
      </c>
      <c r="J821" s="72"/>
      <c r="K821" s="72"/>
      <c r="L821" s="72"/>
      <c r="M821" s="72"/>
      <c r="N821" s="72"/>
      <c r="O821" s="72"/>
      <c r="P821" s="72"/>
      <c r="Q821" s="63">
        <f t="shared" si="58"/>
        <v>6031.41</v>
      </c>
      <c r="R821" s="72">
        <f t="shared" si="58"/>
        <v>0</v>
      </c>
      <c r="S821" s="63">
        <f t="shared" si="59"/>
        <v>6031.41</v>
      </c>
    </row>
    <row r="822" spans="1:19" x14ac:dyDescent="0.25">
      <c r="A822" s="116" t="s">
        <v>2739</v>
      </c>
      <c r="B822" s="116" t="s">
        <v>2740</v>
      </c>
      <c r="C822" s="117">
        <v>524</v>
      </c>
      <c r="D822" s="91" t="s">
        <v>2745</v>
      </c>
      <c r="E822" s="91" t="s">
        <v>19</v>
      </c>
      <c r="F822" s="92">
        <v>41636</v>
      </c>
      <c r="G822" s="118">
        <f>6.6+70+4919.5</f>
        <v>4996.1000000000004</v>
      </c>
      <c r="H822" s="72"/>
      <c r="I822" s="63">
        <v>3750</v>
      </c>
      <c r="J822" s="72"/>
      <c r="K822" s="72"/>
      <c r="L822" s="72"/>
      <c r="M822" s="72"/>
      <c r="N822" s="72"/>
      <c r="O822" s="72"/>
      <c r="P822" s="72"/>
      <c r="Q822" s="63">
        <f t="shared" si="58"/>
        <v>8746.1</v>
      </c>
      <c r="R822" s="72">
        <f t="shared" si="58"/>
        <v>0</v>
      </c>
      <c r="S822" s="63">
        <f t="shared" si="59"/>
        <v>8746.1</v>
      </c>
    </row>
    <row r="823" spans="1:19" x14ac:dyDescent="0.25">
      <c r="A823" s="116" t="s">
        <v>2739</v>
      </c>
      <c r="B823" s="116" t="s">
        <v>2740</v>
      </c>
      <c r="C823" s="117">
        <v>524</v>
      </c>
      <c r="D823" s="91" t="s">
        <v>2746</v>
      </c>
      <c r="E823" s="91" t="s">
        <v>19</v>
      </c>
      <c r="F823" s="92">
        <v>41636</v>
      </c>
      <c r="G823" s="118">
        <f>78.19+78.19+78.19+78.19</f>
        <v>312.76</v>
      </c>
      <c r="H823" s="72"/>
      <c r="I823" s="63">
        <v>3800</v>
      </c>
      <c r="J823" s="72"/>
      <c r="K823" s="72"/>
      <c r="L823" s="72"/>
      <c r="M823" s="72"/>
      <c r="N823" s="72"/>
      <c r="O823" s="72"/>
      <c r="P823" s="72"/>
      <c r="Q823" s="63">
        <f t="shared" si="58"/>
        <v>4112.76</v>
      </c>
      <c r="R823" s="72">
        <f t="shared" si="58"/>
        <v>0</v>
      </c>
      <c r="S823" s="63">
        <f t="shared" si="59"/>
        <v>4112.76</v>
      </c>
    </row>
    <row r="824" spans="1:19" x14ac:dyDescent="0.25">
      <c r="A824" s="116" t="s">
        <v>2739</v>
      </c>
      <c r="B824" s="116" t="s">
        <v>2740</v>
      </c>
      <c r="C824" s="117">
        <v>524</v>
      </c>
      <c r="D824" s="91" t="s">
        <v>2747</v>
      </c>
      <c r="E824" s="91" t="s">
        <v>19</v>
      </c>
      <c r="F824" s="92">
        <v>41636</v>
      </c>
      <c r="G824" s="118">
        <f>240+17498.1</f>
        <v>17738.099999999999</v>
      </c>
      <c r="H824" s="72"/>
      <c r="I824" s="63">
        <f>3750</f>
        <v>3750</v>
      </c>
      <c r="J824" s="72"/>
      <c r="K824" s="72"/>
      <c r="L824" s="72"/>
      <c r="M824" s="72"/>
      <c r="N824" s="72"/>
      <c r="O824" s="72"/>
      <c r="P824" s="72"/>
      <c r="Q824" s="63">
        <f t="shared" si="58"/>
        <v>21488.1</v>
      </c>
      <c r="R824" s="72">
        <f t="shared" si="58"/>
        <v>0</v>
      </c>
      <c r="S824" s="63">
        <f t="shared" si="59"/>
        <v>21488.1</v>
      </c>
    </row>
    <row r="825" spans="1:19" x14ac:dyDescent="0.25">
      <c r="A825" s="116" t="s">
        <v>2748</v>
      </c>
      <c r="B825" s="116" t="s">
        <v>2749</v>
      </c>
      <c r="C825" s="117">
        <v>525</v>
      </c>
      <c r="D825" s="91" t="s">
        <v>2750</v>
      </c>
      <c r="E825" s="91" t="s">
        <v>19</v>
      </c>
      <c r="F825" s="92">
        <v>41655</v>
      </c>
      <c r="G825" s="118">
        <f>582.9</f>
        <v>582.9</v>
      </c>
      <c r="H825" s="72"/>
      <c r="I825" s="72"/>
      <c r="J825" s="72"/>
      <c r="K825" s="72"/>
      <c r="L825" s="72"/>
      <c r="M825" s="72"/>
      <c r="N825" s="72"/>
      <c r="O825" s="72"/>
      <c r="P825" s="72"/>
      <c r="Q825" s="63">
        <f t="shared" si="58"/>
        <v>582.9</v>
      </c>
      <c r="R825" s="72">
        <f t="shared" si="58"/>
        <v>0</v>
      </c>
      <c r="S825" s="63">
        <f t="shared" si="59"/>
        <v>582.9</v>
      </c>
    </row>
    <row r="826" spans="1:19" x14ac:dyDescent="0.25">
      <c r="A826" s="116" t="s">
        <v>2751</v>
      </c>
      <c r="B826" s="116" t="s">
        <v>2752</v>
      </c>
      <c r="C826" s="117">
        <v>526</v>
      </c>
      <c r="D826" s="91" t="s">
        <v>2753</v>
      </c>
      <c r="E826" s="91" t="s">
        <v>19</v>
      </c>
      <c r="F826" s="92">
        <v>41655</v>
      </c>
      <c r="G826" s="118">
        <f>130.33+301.5</f>
        <v>431.83000000000004</v>
      </c>
      <c r="H826" s="72"/>
      <c r="I826" s="72"/>
      <c r="J826" s="72"/>
      <c r="K826" s="72"/>
      <c r="L826" s="72"/>
      <c r="M826" s="72"/>
      <c r="N826" s="72"/>
      <c r="O826" s="72"/>
      <c r="P826" s="72"/>
      <c r="Q826" s="63">
        <f t="shared" si="58"/>
        <v>431.83000000000004</v>
      </c>
      <c r="R826" s="72">
        <f t="shared" si="58"/>
        <v>0</v>
      </c>
      <c r="S826" s="63">
        <f t="shared" si="59"/>
        <v>431.83000000000004</v>
      </c>
    </row>
    <row r="827" spans="1:19" x14ac:dyDescent="0.25">
      <c r="A827" s="116" t="s">
        <v>2754</v>
      </c>
      <c r="B827" s="116" t="s">
        <v>2755</v>
      </c>
      <c r="C827" s="117">
        <v>527</v>
      </c>
      <c r="D827" s="91" t="s">
        <v>2756</v>
      </c>
      <c r="E827" s="91" t="s">
        <v>19</v>
      </c>
      <c r="F827" s="75">
        <v>41772</v>
      </c>
      <c r="G827" s="118">
        <v>121.19</v>
      </c>
      <c r="H827" s="72"/>
      <c r="I827" s="72"/>
      <c r="J827" s="72"/>
      <c r="K827" s="72"/>
      <c r="L827" s="72"/>
      <c r="M827" s="72"/>
      <c r="N827" s="72"/>
      <c r="O827" s="72"/>
      <c r="P827" s="72"/>
      <c r="Q827" s="63">
        <f t="shared" si="58"/>
        <v>121.19</v>
      </c>
      <c r="R827" s="72">
        <f t="shared" si="58"/>
        <v>0</v>
      </c>
      <c r="S827" s="63">
        <f t="shared" si="59"/>
        <v>121.19</v>
      </c>
    </row>
    <row r="828" spans="1:19" x14ac:dyDescent="0.25">
      <c r="A828" s="116" t="s">
        <v>2754</v>
      </c>
      <c r="B828" s="116" t="s">
        <v>2755</v>
      </c>
      <c r="C828" s="117">
        <v>527</v>
      </c>
      <c r="D828" s="91" t="s">
        <v>2757</v>
      </c>
      <c r="E828" s="91" t="s">
        <v>19</v>
      </c>
      <c r="F828" s="75">
        <v>41772</v>
      </c>
      <c r="G828" s="118"/>
      <c r="H828" s="72"/>
      <c r="I828" s="72"/>
      <c r="J828" s="72"/>
      <c r="K828" s="72"/>
      <c r="L828" s="72"/>
      <c r="M828" s="72"/>
      <c r="N828" s="72"/>
      <c r="O828" s="72"/>
      <c r="P828" s="72"/>
      <c r="Q828" s="63">
        <f t="shared" si="58"/>
        <v>0</v>
      </c>
      <c r="R828" s="72">
        <f t="shared" si="58"/>
        <v>0</v>
      </c>
      <c r="S828" s="63">
        <f t="shared" si="59"/>
        <v>0</v>
      </c>
    </row>
    <row r="829" spans="1:19" x14ac:dyDescent="0.25">
      <c r="A829" s="116" t="s">
        <v>2754</v>
      </c>
      <c r="B829" s="116" t="s">
        <v>2755</v>
      </c>
      <c r="C829" s="117">
        <v>527</v>
      </c>
      <c r="D829" s="91" t="s">
        <v>2758</v>
      </c>
      <c r="E829" s="91" t="s">
        <v>19</v>
      </c>
      <c r="F829" s="75">
        <v>41772</v>
      </c>
      <c r="G829" s="118"/>
      <c r="H829" s="72"/>
      <c r="I829" s="72"/>
      <c r="J829" s="72"/>
      <c r="K829" s="72"/>
      <c r="L829" s="72"/>
      <c r="M829" s="72"/>
      <c r="N829" s="72"/>
      <c r="O829" s="72"/>
      <c r="P829" s="72"/>
      <c r="Q829" s="63">
        <f t="shared" si="58"/>
        <v>0</v>
      </c>
      <c r="R829" s="72">
        <f t="shared" si="58"/>
        <v>0</v>
      </c>
      <c r="S829" s="63">
        <f t="shared" si="59"/>
        <v>0</v>
      </c>
    </row>
    <row r="830" spans="1:19" x14ac:dyDescent="0.25">
      <c r="A830" s="116" t="s">
        <v>2754</v>
      </c>
      <c r="B830" s="116" t="s">
        <v>2755</v>
      </c>
      <c r="C830" s="117">
        <v>527</v>
      </c>
      <c r="D830" s="91" t="s">
        <v>2759</v>
      </c>
      <c r="E830" s="91" t="s">
        <v>19</v>
      </c>
      <c r="F830" s="75">
        <v>41772</v>
      </c>
      <c r="G830" s="118"/>
      <c r="H830" s="72"/>
      <c r="I830" s="72"/>
      <c r="J830" s="72"/>
      <c r="K830" s="72"/>
      <c r="L830" s="72"/>
      <c r="M830" s="72"/>
      <c r="N830" s="72"/>
      <c r="O830" s="72"/>
      <c r="P830" s="72"/>
      <c r="Q830" s="63">
        <f t="shared" si="58"/>
        <v>0</v>
      </c>
      <c r="R830" s="72">
        <f t="shared" si="58"/>
        <v>0</v>
      </c>
      <c r="S830" s="63">
        <f t="shared" si="59"/>
        <v>0</v>
      </c>
    </row>
    <row r="831" spans="1:19" x14ac:dyDescent="0.25">
      <c r="A831" s="116" t="s">
        <v>2754</v>
      </c>
      <c r="B831" s="116" t="s">
        <v>2755</v>
      </c>
      <c r="C831" s="117">
        <v>527</v>
      </c>
      <c r="D831" s="91" t="s">
        <v>2760</v>
      </c>
      <c r="E831" s="91" t="s">
        <v>19</v>
      </c>
      <c r="F831" s="75">
        <v>41772</v>
      </c>
      <c r="G831" s="118"/>
      <c r="H831" s="72"/>
      <c r="I831" s="72"/>
      <c r="J831" s="72"/>
      <c r="K831" s="72"/>
      <c r="L831" s="72"/>
      <c r="M831" s="72"/>
      <c r="N831" s="72"/>
      <c r="O831" s="72"/>
      <c r="P831" s="72"/>
      <c r="Q831" s="63">
        <f t="shared" si="58"/>
        <v>0</v>
      </c>
      <c r="R831" s="72">
        <f t="shared" si="58"/>
        <v>0</v>
      </c>
      <c r="S831" s="63">
        <f t="shared" si="59"/>
        <v>0</v>
      </c>
    </row>
    <row r="832" spans="1:19" x14ac:dyDescent="0.25">
      <c r="A832" s="116" t="s">
        <v>2754</v>
      </c>
      <c r="B832" s="116" t="s">
        <v>2755</v>
      </c>
      <c r="C832" s="117">
        <v>527</v>
      </c>
      <c r="D832" s="91" t="s">
        <v>2761</v>
      </c>
      <c r="E832" s="91" t="s">
        <v>19</v>
      </c>
      <c r="F832" s="75">
        <v>41772</v>
      </c>
      <c r="G832" s="118"/>
      <c r="H832" s="72"/>
      <c r="I832" s="72"/>
      <c r="J832" s="72"/>
      <c r="K832" s="72"/>
      <c r="L832" s="72"/>
      <c r="M832" s="72"/>
      <c r="N832" s="72"/>
      <c r="O832" s="72"/>
      <c r="P832" s="72"/>
      <c r="Q832" s="63">
        <f t="shared" si="58"/>
        <v>0</v>
      </c>
      <c r="R832" s="72">
        <f t="shared" si="58"/>
        <v>0</v>
      </c>
      <c r="S832" s="63">
        <f t="shared" si="59"/>
        <v>0</v>
      </c>
    </row>
    <row r="833" spans="1:19" x14ac:dyDescent="0.25">
      <c r="A833" s="116" t="s">
        <v>2754</v>
      </c>
      <c r="B833" s="116" t="s">
        <v>2755</v>
      </c>
      <c r="C833" s="117">
        <v>527</v>
      </c>
      <c r="D833" s="91" t="s">
        <v>2762</v>
      </c>
      <c r="E833" s="91" t="s">
        <v>19</v>
      </c>
      <c r="F833" s="75">
        <v>41772</v>
      </c>
      <c r="G833" s="118"/>
      <c r="H833" s="72"/>
      <c r="I833" s="72"/>
      <c r="J833" s="72"/>
      <c r="K833" s="72"/>
      <c r="L833" s="72"/>
      <c r="M833" s="72"/>
      <c r="N833" s="72"/>
      <c r="O833" s="72"/>
      <c r="P833" s="72"/>
      <c r="Q833" s="63">
        <f t="shared" si="58"/>
        <v>0</v>
      </c>
      <c r="R833" s="72">
        <f t="shared" si="58"/>
        <v>0</v>
      </c>
      <c r="S833" s="63">
        <f t="shared" si="59"/>
        <v>0</v>
      </c>
    </row>
    <row r="834" spans="1:19" x14ac:dyDescent="0.25">
      <c r="A834" s="116" t="s">
        <v>2754</v>
      </c>
      <c r="B834" s="116" t="s">
        <v>2755</v>
      </c>
      <c r="C834" s="117">
        <v>527</v>
      </c>
      <c r="D834" s="91" t="s">
        <v>2763</v>
      </c>
      <c r="E834" s="91" t="s">
        <v>19</v>
      </c>
      <c r="F834" s="75">
        <v>41772</v>
      </c>
      <c r="G834" s="118"/>
      <c r="H834" s="72"/>
      <c r="I834" s="72"/>
      <c r="J834" s="72"/>
      <c r="K834" s="72"/>
      <c r="L834" s="72"/>
      <c r="M834" s="72"/>
      <c r="N834" s="72"/>
      <c r="O834" s="72"/>
      <c r="P834" s="72"/>
      <c r="Q834" s="63">
        <f t="shared" si="58"/>
        <v>0</v>
      </c>
      <c r="R834" s="72">
        <f t="shared" si="58"/>
        <v>0</v>
      </c>
      <c r="S834" s="63">
        <f t="shared" si="59"/>
        <v>0</v>
      </c>
    </row>
    <row r="835" spans="1:19" x14ac:dyDescent="0.25">
      <c r="A835" s="116" t="s">
        <v>2754</v>
      </c>
      <c r="B835" s="116" t="s">
        <v>2755</v>
      </c>
      <c r="C835" s="117">
        <v>527</v>
      </c>
      <c r="D835" s="91" t="s">
        <v>2764</v>
      </c>
      <c r="E835" s="91" t="s">
        <v>19</v>
      </c>
      <c r="F835" s="75">
        <v>41772</v>
      </c>
      <c r="G835" s="118"/>
      <c r="H835" s="72"/>
      <c r="I835" s="72"/>
      <c r="J835" s="72"/>
      <c r="K835" s="72"/>
      <c r="L835" s="72"/>
      <c r="M835" s="72"/>
      <c r="N835" s="72"/>
      <c r="O835" s="72"/>
      <c r="P835" s="72"/>
      <c r="Q835" s="63">
        <f t="shared" si="58"/>
        <v>0</v>
      </c>
      <c r="R835" s="72">
        <f t="shared" si="58"/>
        <v>0</v>
      </c>
      <c r="S835" s="63">
        <f t="shared" si="59"/>
        <v>0</v>
      </c>
    </row>
    <row r="836" spans="1:19" x14ac:dyDescent="0.25">
      <c r="A836" s="116" t="s">
        <v>2754</v>
      </c>
      <c r="B836" s="116" t="s">
        <v>2755</v>
      </c>
      <c r="C836" s="117">
        <v>527</v>
      </c>
      <c r="D836" s="91" t="s">
        <v>2765</v>
      </c>
      <c r="E836" s="91" t="s">
        <v>19</v>
      </c>
      <c r="F836" s="75">
        <v>41772</v>
      </c>
      <c r="G836" s="118"/>
      <c r="H836" s="72"/>
      <c r="I836" s="72"/>
      <c r="J836" s="72"/>
      <c r="K836" s="72"/>
      <c r="L836" s="72"/>
      <c r="M836" s="72"/>
      <c r="N836" s="72"/>
      <c r="O836" s="72"/>
      <c r="P836" s="72"/>
      <c r="Q836" s="63">
        <f t="shared" si="58"/>
        <v>0</v>
      </c>
      <c r="R836" s="72">
        <f t="shared" si="58"/>
        <v>0</v>
      </c>
      <c r="S836" s="63">
        <f t="shared" si="59"/>
        <v>0</v>
      </c>
    </row>
    <row r="837" spans="1:19" x14ac:dyDescent="0.25">
      <c r="A837" s="116" t="s">
        <v>2754</v>
      </c>
      <c r="B837" s="116" t="s">
        <v>2755</v>
      </c>
      <c r="C837" s="117">
        <v>527</v>
      </c>
      <c r="D837" s="91" t="s">
        <v>2766</v>
      </c>
      <c r="E837" s="91" t="s">
        <v>19</v>
      </c>
      <c r="F837" s="75">
        <v>41772</v>
      </c>
      <c r="G837" s="118"/>
      <c r="H837" s="72"/>
      <c r="I837" s="72"/>
      <c r="J837" s="72"/>
      <c r="K837" s="72"/>
      <c r="L837" s="72"/>
      <c r="M837" s="72"/>
      <c r="N837" s="72"/>
      <c r="O837" s="72"/>
      <c r="P837" s="72"/>
      <c r="Q837" s="63">
        <f t="shared" si="58"/>
        <v>0</v>
      </c>
      <c r="R837" s="72">
        <f t="shared" si="58"/>
        <v>0</v>
      </c>
      <c r="S837" s="63">
        <f t="shared" si="59"/>
        <v>0</v>
      </c>
    </row>
    <row r="838" spans="1:19" x14ac:dyDescent="0.25">
      <c r="A838" s="116" t="s">
        <v>2754</v>
      </c>
      <c r="B838" s="116" t="s">
        <v>2755</v>
      </c>
      <c r="C838" s="117">
        <v>527</v>
      </c>
      <c r="D838" s="91" t="s">
        <v>2767</v>
      </c>
      <c r="E838" s="91" t="s">
        <v>19</v>
      </c>
      <c r="F838" s="75">
        <v>41772</v>
      </c>
      <c r="G838" s="118"/>
      <c r="H838" s="72"/>
      <c r="I838" s="72"/>
      <c r="J838" s="72"/>
      <c r="K838" s="72"/>
      <c r="L838" s="72"/>
      <c r="M838" s="72"/>
      <c r="N838" s="72"/>
      <c r="O838" s="72"/>
      <c r="P838" s="72"/>
      <c r="Q838" s="63">
        <f t="shared" si="58"/>
        <v>0</v>
      </c>
      <c r="R838" s="72">
        <f t="shared" si="58"/>
        <v>0</v>
      </c>
      <c r="S838" s="63">
        <f t="shared" si="59"/>
        <v>0</v>
      </c>
    </row>
    <row r="839" spans="1:19" x14ac:dyDescent="0.25">
      <c r="A839" s="116" t="s">
        <v>2754</v>
      </c>
      <c r="B839" s="116" t="s">
        <v>2755</v>
      </c>
      <c r="C839" s="117">
        <v>527</v>
      </c>
      <c r="D839" s="91" t="s">
        <v>2768</v>
      </c>
      <c r="E839" s="91" t="s">
        <v>19</v>
      </c>
      <c r="F839" s="75">
        <v>41772</v>
      </c>
      <c r="G839" s="118"/>
      <c r="H839" s="72"/>
      <c r="I839" s="72"/>
      <c r="J839" s="72"/>
      <c r="K839" s="72"/>
      <c r="L839" s="72"/>
      <c r="M839" s="72"/>
      <c r="N839" s="72"/>
      <c r="O839" s="72"/>
      <c r="P839" s="72"/>
      <c r="Q839" s="63">
        <f t="shared" si="58"/>
        <v>0</v>
      </c>
      <c r="R839" s="72">
        <f t="shared" si="58"/>
        <v>0</v>
      </c>
      <c r="S839" s="63">
        <f t="shared" si="59"/>
        <v>0</v>
      </c>
    </row>
    <row r="840" spans="1:19" x14ac:dyDescent="0.25">
      <c r="A840" s="116" t="s">
        <v>2769</v>
      </c>
      <c r="B840" s="116" t="s">
        <v>2770</v>
      </c>
      <c r="C840" s="117">
        <v>528</v>
      </c>
      <c r="D840" s="91" t="s">
        <v>2771</v>
      </c>
      <c r="E840" s="91" t="s">
        <v>19</v>
      </c>
      <c r="F840" s="75">
        <v>41745</v>
      </c>
      <c r="G840" s="118">
        <v>382.85</v>
      </c>
      <c r="H840" s="72"/>
      <c r="I840" s="72"/>
      <c r="J840" s="72"/>
      <c r="K840" s="72"/>
      <c r="L840" s="72"/>
      <c r="M840" s="72"/>
      <c r="N840" s="72"/>
      <c r="O840" s="72"/>
      <c r="P840" s="72"/>
      <c r="Q840" s="63">
        <f t="shared" si="58"/>
        <v>382.85</v>
      </c>
      <c r="R840" s="72">
        <f t="shared" si="58"/>
        <v>0</v>
      </c>
      <c r="S840" s="63">
        <f t="shared" si="59"/>
        <v>382.85</v>
      </c>
    </row>
    <row r="841" spans="1:19" x14ac:dyDescent="0.25">
      <c r="A841" s="116" t="s">
        <v>2772</v>
      </c>
      <c r="B841" s="116" t="s">
        <v>2773</v>
      </c>
      <c r="C841" s="117">
        <v>529</v>
      </c>
      <c r="D841" s="91" t="s">
        <v>2774</v>
      </c>
      <c r="E841" s="91" t="s">
        <v>19</v>
      </c>
      <c r="F841" s="75">
        <v>41712</v>
      </c>
      <c r="G841" s="118">
        <v>173.64</v>
      </c>
      <c r="H841" s="72"/>
      <c r="I841" s="72"/>
      <c r="J841" s="72"/>
      <c r="K841" s="72"/>
      <c r="L841" s="72"/>
      <c r="M841" s="72"/>
      <c r="N841" s="72"/>
      <c r="O841" s="72"/>
      <c r="P841" s="72"/>
      <c r="Q841" s="63">
        <f t="shared" si="58"/>
        <v>173.64</v>
      </c>
      <c r="R841" s="72">
        <f t="shared" si="58"/>
        <v>0</v>
      </c>
      <c r="S841" s="63">
        <f t="shared" si="59"/>
        <v>173.64</v>
      </c>
    </row>
    <row r="842" spans="1:19" x14ac:dyDescent="0.25">
      <c r="A842" s="116" t="s">
        <v>1904</v>
      </c>
      <c r="B842" s="116" t="s">
        <v>1905</v>
      </c>
      <c r="C842" s="117">
        <v>530</v>
      </c>
      <c r="D842" s="91" t="s">
        <v>2775</v>
      </c>
      <c r="E842" s="91" t="s">
        <v>19</v>
      </c>
      <c r="F842" s="75">
        <v>41628</v>
      </c>
      <c r="G842" s="118">
        <f>240+94.4+88.35+187.16+234.3+22.22+41.35+34.1+89.96+66.9+47.2+94.4+141.6+436.6+47.2+605.28</f>
        <v>2471.0200000000004</v>
      </c>
      <c r="H842" s="72"/>
      <c r="I842" s="120">
        <v>500</v>
      </c>
      <c r="J842" s="72"/>
      <c r="K842" s="72"/>
      <c r="L842" s="72"/>
      <c r="M842" s="72"/>
      <c r="N842" s="72"/>
      <c r="O842" s="72"/>
      <c r="P842" s="72"/>
      <c r="Q842" s="63">
        <f t="shared" si="58"/>
        <v>2971.0200000000004</v>
      </c>
      <c r="R842" s="72">
        <f t="shared" si="58"/>
        <v>0</v>
      </c>
      <c r="S842" s="63">
        <f t="shared" si="59"/>
        <v>2971.0200000000004</v>
      </c>
    </row>
    <row r="843" spans="1:19" x14ac:dyDescent="0.25">
      <c r="A843" s="116" t="s">
        <v>2776</v>
      </c>
      <c r="B843" s="116" t="s">
        <v>2777</v>
      </c>
      <c r="C843" s="117">
        <v>531</v>
      </c>
      <c r="D843" s="91" t="s">
        <v>2778</v>
      </c>
      <c r="E843" s="91" t="s">
        <v>19</v>
      </c>
      <c r="F843" s="75">
        <v>41736</v>
      </c>
      <c r="G843" s="118">
        <v>126.5</v>
      </c>
      <c r="H843" s="72"/>
      <c r="I843" s="72"/>
      <c r="J843" s="72"/>
      <c r="K843" s="72"/>
      <c r="L843" s="72"/>
      <c r="M843" s="72"/>
      <c r="N843" s="72"/>
      <c r="O843" s="72"/>
      <c r="P843" s="72"/>
      <c r="Q843" s="63">
        <f t="shared" si="58"/>
        <v>126.5</v>
      </c>
      <c r="R843" s="72">
        <f t="shared" si="58"/>
        <v>0</v>
      </c>
      <c r="S843" s="63">
        <f t="shared" si="59"/>
        <v>126.5</v>
      </c>
    </row>
    <row r="844" spans="1:19" x14ac:dyDescent="0.25">
      <c r="A844" s="116" t="s">
        <v>2779</v>
      </c>
      <c r="B844" s="116" t="s">
        <v>2780</v>
      </c>
      <c r="C844" s="117">
        <v>532</v>
      </c>
      <c r="D844" s="91" t="s">
        <v>2781</v>
      </c>
      <c r="E844" s="91" t="s">
        <v>19</v>
      </c>
      <c r="F844" s="75">
        <v>41736</v>
      </c>
      <c r="G844" s="118">
        <v>205.97</v>
      </c>
      <c r="H844" s="72"/>
      <c r="I844" s="72"/>
      <c r="J844" s="72"/>
      <c r="K844" s="72"/>
      <c r="L844" s="72"/>
      <c r="M844" s="72"/>
      <c r="N844" s="72"/>
      <c r="O844" s="72"/>
      <c r="P844" s="72"/>
      <c r="Q844" s="63">
        <f t="shared" si="58"/>
        <v>205.97</v>
      </c>
      <c r="R844" s="72">
        <f t="shared" si="58"/>
        <v>0</v>
      </c>
      <c r="S844" s="63">
        <f t="shared" si="59"/>
        <v>205.97</v>
      </c>
    </row>
    <row r="845" spans="1:19" x14ac:dyDescent="0.25">
      <c r="A845" s="116" t="s">
        <v>2782</v>
      </c>
      <c r="B845" s="116" t="s">
        <v>2783</v>
      </c>
      <c r="C845" s="117">
        <v>533</v>
      </c>
      <c r="D845" s="91" t="s">
        <v>2784</v>
      </c>
      <c r="E845" s="91" t="s">
        <v>19</v>
      </c>
      <c r="F845" s="75">
        <v>41664</v>
      </c>
      <c r="G845" s="118">
        <v>53.57</v>
      </c>
      <c r="H845" s="72"/>
      <c r="I845" s="72"/>
      <c r="J845" s="72"/>
      <c r="K845" s="72"/>
      <c r="L845" s="72"/>
      <c r="M845" s="72"/>
      <c r="N845" s="72"/>
      <c r="O845" s="72"/>
      <c r="P845" s="72"/>
      <c r="Q845" s="63">
        <f t="shared" si="58"/>
        <v>53.57</v>
      </c>
      <c r="R845" s="72">
        <f t="shared" si="58"/>
        <v>0</v>
      </c>
      <c r="S845" s="63">
        <f t="shared" si="59"/>
        <v>53.57</v>
      </c>
    </row>
    <row r="846" spans="1:19" x14ac:dyDescent="0.25">
      <c r="A846" s="116" t="s">
        <v>2785</v>
      </c>
      <c r="B846" s="116" t="s">
        <v>2786</v>
      </c>
      <c r="C846" s="117">
        <v>534</v>
      </c>
      <c r="D846" s="91" t="s">
        <v>2787</v>
      </c>
      <c r="E846" s="91" t="s">
        <v>19</v>
      </c>
      <c r="F846" s="75">
        <v>41666</v>
      </c>
      <c r="G846" s="118">
        <v>120.01</v>
      </c>
      <c r="H846" s="72"/>
      <c r="I846" s="72"/>
      <c r="J846" s="72"/>
      <c r="K846" s="72"/>
      <c r="L846" s="72"/>
      <c r="M846" s="72"/>
      <c r="N846" s="72"/>
      <c r="O846" s="72"/>
      <c r="P846" s="72"/>
      <c r="Q846" s="63">
        <f t="shared" si="58"/>
        <v>120.01</v>
      </c>
      <c r="R846" s="72">
        <f t="shared" si="58"/>
        <v>0</v>
      </c>
      <c r="S846" s="63">
        <f t="shared" si="59"/>
        <v>120.01</v>
      </c>
    </row>
    <row r="847" spans="1:19" x14ac:dyDescent="0.25">
      <c r="A847" s="116" t="s">
        <v>2788</v>
      </c>
      <c r="B847" s="116" t="s">
        <v>2789</v>
      </c>
      <c r="C847" s="117">
        <v>535</v>
      </c>
      <c r="D847" s="91" t="s">
        <v>2790</v>
      </c>
      <c r="E847" s="91" t="s">
        <v>19</v>
      </c>
      <c r="F847" s="75">
        <v>41664</v>
      </c>
      <c r="G847" s="118">
        <v>83.84</v>
      </c>
      <c r="H847" s="72"/>
      <c r="I847" s="72"/>
      <c r="J847" s="72"/>
      <c r="K847" s="72"/>
      <c r="L847" s="72"/>
      <c r="M847" s="72"/>
      <c r="N847" s="72"/>
      <c r="O847" s="72"/>
      <c r="P847" s="72"/>
      <c r="Q847" s="63">
        <f t="shared" si="58"/>
        <v>83.84</v>
      </c>
      <c r="R847" s="72">
        <f t="shared" si="58"/>
        <v>0</v>
      </c>
      <c r="S847" s="63">
        <f t="shared" si="59"/>
        <v>83.84</v>
      </c>
    </row>
    <row r="848" spans="1:19" x14ac:dyDescent="0.25">
      <c r="A848" s="116" t="s">
        <v>2791</v>
      </c>
      <c r="B848" s="116" t="s">
        <v>2792</v>
      </c>
      <c r="C848" s="117">
        <v>536</v>
      </c>
      <c r="D848" s="91" t="s">
        <v>2793</v>
      </c>
      <c r="E848" s="91" t="s">
        <v>19</v>
      </c>
      <c r="F848" s="75">
        <v>41712</v>
      </c>
      <c r="G848" s="118">
        <v>192.34</v>
      </c>
      <c r="H848" s="72"/>
      <c r="I848" s="72"/>
      <c r="J848" s="72"/>
      <c r="K848" s="72"/>
      <c r="L848" s="72"/>
      <c r="M848" s="72"/>
      <c r="N848" s="72"/>
      <c r="O848" s="72"/>
      <c r="P848" s="72"/>
      <c r="Q848" s="63">
        <f t="shared" si="58"/>
        <v>192.34</v>
      </c>
      <c r="R848" s="72">
        <f t="shared" si="58"/>
        <v>0</v>
      </c>
      <c r="S848" s="63">
        <f t="shared" si="59"/>
        <v>192.34</v>
      </c>
    </row>
    <row r="849" spans="1:19" x14ac:dyDescent="0.25">
      <c r="A849" s="116" t="s">
        <v>2794</v>
      </c>
      <c r="B849" s="116" t="s">
        <v>2795</v>
      </c>
      <c r="C849" s="117">
        <v>537</v>
      </c>
      <c r="D849" s="91" t="s">
        <v>2796</v>
      </c>
      <c r="E849" s="91" t="s">
        <v>19</v>
      </c>
      <c r="F849" s="75">
        <v>41712</v>
      </c>
      <c r="G849" s="118">
        <v>204.61</v>
      </c>
      <c r="H849" s="72"/>
      <c r="I849" s="72"/>
      <c r="J849" s="72"/>
      <c r="K849" s="72"/>
      <c r="L849" s="72"/>
      <c r="M849" s="72"/>
      <c r="N849" s="72"/>
      <c r="O849" s="72"/>
      <c r="P849" s="72"/>
      <c r="Q849" s="63">
        <f t="shared" ref="Q849:R912" si="60">+G849+I849+K849+M849+O849</f>
        <v>204.61</v>
      </c>
      <c r="R849" s="72">
        <f t="shared" si="60"/>
        <v>0</v>
      </c>
      <c r="S849" s="63">
        <f t="shared" ref="S849:S912" si="61">+Q849+R849</f>
        <v>204.61</v>
      </c>
    </row>
    <row r="850" spans="1:19" x14ac:dyDescent="0.25">
      <c r="A850" s="116" t="s">
        <v>2797</v>
      </c>
      <c r="B850" s="116" t="s">
        <v>2798</v>
      </c>
      <c r="C850" s="117">
        <v>538</v>
      </c>
      <c r="D850" s="91" t="s">
        <v>2799</v>
      </c>
      <c r="E850" s="91" t="s">
        <v>19</v>
      </c>
      <c r="F850" s="75">
        <v>41712</v>
      </c>
      <c r="G850" s="118">
        <v>57.41</v>
      </c>
      <c r="H850" s="72"/>
      <c r="I850" s="72"/>
      <c r="J850" s="72"/>
      <c r="K850" s="72"/>
      <c r="L850" s="72"/>
      <c r="M850" s="72"/>
      <c r="N850" s="72"/>
      <c r="O850" s="72"/>
      <c r="P850" s="72"/>
      <c r="Q850" s="63">
        <f t="shared" si="60"/>
        <v>57.41</v>
      </c>
      <c r="R850" s="72">
        <f t="shared" si="60"/>
        <v>0</v>
      </c>
      <c r="S850" s="63">
        <f t="shared" si="61"/>
        <v>57.41</v>
      </c>
    </row>
    <row r="851" spans="1:19" x14ac:dyDescent="0.25">
      <c r="A851" s="116" t="s">
        <v>2800</v>
      </c>
      <c r="B851" s="116" t="s">
        <v>2801</v>
      </c>
      <c r="C851" s="117">
        <v>539</v>
      </c>
      <c r="D851" s="91" t="s">
        <v>2802</v>
      </c>
      <c r="E851" s="91" t="s">
        <v>19</v>
      </c>
      <c r="F851" s="75">
        <v>41736</v>
      </c>
      <c r="G851" s="118">
        <v>228.63</v>
      </c>
      <c r="H851" s="72"/>
      <c r="I851" s="72"/>
      <c r="J851" s="72"/>
      <c r="K851" s="72"/>
      <c r="L851" s="72"/>
      <c r="M851" s="72"/>
      <c r="N851" s="72"/>
      <c r="O851" s="72"/>
      <c r="P851" s="72"/>
      <c r="Q851" s="63">
        <f t="shared" si="60"/>
        <v>228.63</v>
      </c>
      <c r="R851" s="72">
        <f t="shared" si="60"/>
        <v>0</v>
      </c>
      <c r="S851" s="63">
        <f t="shared" si="61"/>
        <v>228.63</v>
      </c>
    </row>
    <row r="852" spans="1:19" x14ac:dyDescent="0.25">
      <c r="A852" s="116" t="s">
        <v>2803</v>
      </c>
      <c r="B852" s="116" t="s">
        <v>2804</v>
      </c>
      <c r="C852" s="117">
        <v>540</v>
      </c>
      <c r="D852" s="91" t="s">
        <v>2805</v>
      </c>
      <c r="E852" s="91" t="s">
        <v>2806</v>
      </c>
      <c r="F852" s="75">
        <v>41627</v>
      </c>
      <c r="G852" s="118">
        <f>238+232.49+163.3</f>
        <v>633.79</v>
      </c>
      <c r="H852" s="72"/>
      <c r="I852" s="72"/>
      <c r="J852" s="72"/>
      <c r="K852" s="72"/>
      <c r="L852" s="72"/>
      <c r="M852" s="72"/>
      <c r="N852" s="72"/>
      <c r="O852" s="72"/>
      <c r="P852" s="72"/>
      <c r="Q852" s="63">
        <f t="shared" si="60"/>
        <v>633.79</v>
      </c>
      <c r="R852" s="72">
        <f t="shared" si="60"/>
        <v>0</v>
      </c>
      <c r="S852" s="63">
        <f t="shared" si="61"/>
        <v>633.79</v>
      </c>
    </row>
    <row r="853" spans="1:19" x14ac:dyDescent="0.25">
      <c r="A853" s="116" t="s">
        <v>2807</v>
      </c>
      <c r="B853" s="116" t="s">
        <v>2808</v>
      </c>
      <c r="C853" s="117">
        <v>541</v>
      </c>
      <c r="D853" s="91" t="s">
        <v>2809</v>
      </c>
      <c r="E853" s="91" t="s">
        <v>19</v>
      </c>
      <c r="F853" s="75">
        <v>41635</v>
      </c>
      <c r="G853" s="118">
        <v>92.43</v>
      </c>
      <c r="H853" s="72"/>
      <c r="I853" s="72"/>
      <c r="J853" s="72"/>
      <c r="K853" s="72"/>
      <c r="L853" s="72"/>
      <c r="M853" s="72"/>
      <c r="N853" s="72"/>
      <c r="O853" s="72"/>
      <c r="P853" s="72"/>
      <c r="Q853" s="63">
        <f t="shared" si="60"/>
        <v>92.43</v>
      </c>
      <c r="R853" s="72">
        <f t="shared" si="60"/>
        <v>0</v>
      </c>
      <c r="S853" s="63">
        <f t="shared" si="61"/>
        <v>92.43</v>
      </c>
    </row>
    <row r="854" spans="1:19" x14ac:dyDescent="0.25">
      <c r="A854" s="116" t="s">
        <v>2810</v>
      </c>
      <c r="B854" s="116" t="s">
        <v>2811</v>
      </c>
      <c r="C854" s="117">
        <v>542</v>
      </c>
      <c r="D854" s="91" t="s">
        <v>2812</v>
      </c>
      <c r="E854" s="91" t="s">
        <v>19</v>
      </c>
      <c r="F854" s="75">
        <v>41634</v>
      </c>
      <c r="G854" s="118">
        <f>238+603.69</f>
        <v>841.69</v>
      </c>
      <c r="H854" s="72"/>
      <c r="I854" s="120">
        <v>225</v>
      </c>
      <c r="J854" s="72"/>
      <c r="K854" s="72"/>
      <c r="L854" s="72"/>
      <c r="M854" s="72"/>
      <c r="N854" s="72"/>
      <c r="O854" s="72"/>
      <c r="P854" s="72"/>
      <c r="Q854" s="63">
        <f t="shared" si="60"/>
        <v>1066.69</v>
      </c>
      <c r="R854" s="72">
        <f t="shared" si="60"/>
        <v>0</v>
      </c>
      <c r="S854" s="63">
        <f t="shared" si="61"/>
        <v>1066.69</v>
      </c>
    </row>
    <row r="855" spans="1:19" x14ac:dyDescent="0.25">
      <c r="A855" s="116" t="s">
        <v>2810</v>
      </c>
      <c r="B855" s="116" t="s">
        <v>2811</v>
      </c>
      <c r="C855" s="117">
        <v>542</v>
      </c>
      <c r="D855" s="91" t="s">
        <v>2813</v>
      </c>
      <c r="E855" s="91" t="s">
        <v>19</v>
      </c>
      <c r="F855" s="75">
        <v>41634</v>
      </c>
      <c r="G855" s="118">
        <v>293.58</v>
      </c>
      <c r="H855" s="72"/>
      <c r="I855" s="72"/>
      <c r="J855" s="72"/>
      <c r="K855" s="72"/>
      <c r="L855" s="72"/>
      <c r="M855" s="72"/>
      <c r="N855" s="72"/>
      <c r="O855" s="72"/>
      <c r="P855" s="72"/>
      <c r="Q855" s="63">
        <f t="shared" si="60"/>
        <v>293.58</v>
      </c>
      <c r="R855" s="72">
        <f t="shared" si="60"/>
        <v>0</v>
      </c>
      <c r="S855" s="63">
        <f t="shared" si="61"/>
        <v>293.58</v>
      </c>
    </row>
    <row r="856" spans="1:19" x14ac:dyDescent="0.25">
      <c r="A856" s="116" t="s">
        <v>2810</v>
      </c>
      <c r="B856" s="116" t="s">
        <v>2811</v>
      </c>
      <c r="C856" s="117">
        <v>542</v>
      </c>
      <c r="D856" s="91" t="s">
        <v>2814</v>
      </c>
      <c r="E856" s="91" t="s">
        <v>19</v>
      </c>
      <c r="F856" s="75">
        <v>41634</v>
      </c>
      <c r="G856" s="118">
        <v>477.96</v>
      </c>
      <c r="H856" s="72"/>
      <c r="I856" s="72"/>
      <c r="J856" s="72"/>
      <c r="K856" s="72"/>
      <c r="L856" s="72"/>
      <c r="M856" s="72"/>
      <c r="N856" s="72"/>
      <c r="O856" s="72"/>
      <c r="P856" s="72"/>
      <c r="Q856" s="63">
        <f t="shared" si="60"/>
        <v>477.96</v>
      </c>
      <c r="R856" s="72">
        <f t="shared" si="60"/>
        <v>0</v>
      </c>
      <c r="S856" s="63">
        <f t="shared" si="61"/>
        <v>477.96</v>
      </c>
    </row>
    <row r="857" spans="1:19" x14ac:dyDescent="0.25">
      <c r="A857" s="116" t="s">
        <v>2810</v>
      </c>
      <c r="B857" s="116" t="s">
        <v>2811</v>
      </c>
      <c r="C857" s="117">
        <v>542</v>
      </c>
      <c r="D857" s="91" t="s">
        <v>2815</v>
      </c>
      <c r="E857" s="91" t="s">
        <v>19</v>
      </c>
      <c r="F857" s="75">
        <v>41634</v>
      </c>
      <c r="G857" s="118">
        <v>84.49</v>
      </c>
      <c r="H857" s="72"/>
      <c r="I857" s="72"/>
      <c r="J857" s="72"/>
      <c r="K857" s="72"/>
      <c r="L857" s="72"/>
      <c r="M857" s="72"/>
      <c r="N857" s="72"/>
      <c r="O857" s="72"/>
      <c r="P857" s="72"/>
      <c r="Q857" s="63">
        <f t="shared" si="60"/>
        <v>84.49</v>
      </c>
      <c r="R857" s="72">
        <f t="shared" si="60"/>
        <v>0</v>
      </c>
      <c r="S857" s="63">
        <f t="shared" si="61"/>
        <v>84.49</v>
      </c>
    </row>
    <row r="858" spans="1:19" x14ac:dyDescent="0.25">
      <c r="A858" s="116" t="s">
        <v>2810</v>
      </c>
      <c r="B858" s="116" t="s">
        <v>2811</v>
      </c>
      <c r="C858" s="117">
        <v>542</v>
      </c>
      <c r="D858" s="91" t="s">
        <v>2816</v>
      </c>
      <c r="E858" s="91" t="s">
        <v>19</v>
      </c>
      <c r="F858" s="75">
        <v>41634</v>
      </c>
      <c r="G858" s="118">
        <v>47.5</v>
      </c>
      <c r="H858" s="72"/>
      <c r="I858" s="72"/>
      <c r="J858" s="72"/>
      <c r="K858" s="72"/>
      <c r="L858" s="72"/>
      <c r="M858" s="72"/>
      <c r="N858" s="72"/>
      <c r="O858" s="72"/>
      <c r="P858" s="72"/>
      <c r="Q858" s="63">
        <f t="shared" si="60"/>
        <v>47.5</v>
      </c>
      <c r="R858" s="72">
        <f t="shared" si="60"/>
        <v>0</v>
      </c>
      <c r="S858" s="63">
        <f t="shared" si="61"/>
        <v>47.5</v>
      </c>
    </row>
    <row r="859" spans="1:19" x14ac:dyDescent="0.25">
      <c r="A859" s="116" t="s">
        <v>2817</v>
      </c>
      <c r="B859" s="116" t="s">
        <v>2818</v>
      </c>
      <c r="C859" s="117">
        <v>543</v>
      </c>
      <c r="D859" s="91" t="s">
        <v>2819</v>
      </c>
      <c r="E859" s="91" t="s">
        <v>19</v>
      </c>
      <c r="F859" s="75">
        <v>41649</v>
      </c>
      <c r="G859" s="118">
        <v>124.4</v>
      </c>
      <c r="H859" s="72"/>
      <c r="I859" s="72"/>
      <c r="J859" s="72"/>
      <c r="K859" s="72"/>
      <c r="L859" s="72"/>
      <c r="M859" s="72"/>
      <c r="N859" s="72"/>
      <c r="O859" s="72"/>
      <c r="P859" s="72"/>
      <c r="Q859" s="63">
        <f t="shared" si="60"/>
        <v>124.4</v>
      </c>
      <c r="R859" s="72">
        <f t="shared" si="60"/>
        <v>0</v>
      </c>
      <c r="S859" s="63">
        <f t="shared" si="61"/>
        <v>124.4</v>
      </c>
    </row>
    <row r="860" spans="1:19" x14ac:dyDescent="0.25">
      <c r="A860" s="116" t="s">
        <v>2817</v>
      </c>
      <c r="B860" s="116" t="s">
        <v>2818</v>
      </c>
      <c r="C860" s="117">
        <v>543</v>
      </c>
      <c r="D860" s="91" t="s">
        <v>2820</v>
      </c>
      <c r="E860" s="91" t="s">
        <v>19</v>
      </c>
      <c r="F860" s="75">
        <v>41649</v>
      </c>
      <c r="G860" s="118">
        <v>49.2</v>
      </c>
      <c r="H860" s="72"/>
      <c r="I860" s="72"/>
      <c r="J860" s="72"/>
      <c r="K860" s="72"/>
      <c r="L860" s="72"/>
      <c r="M860" s="72"/>
      <c r="N860" s="72"/>
      <c r="O860" s="72"/>
      <c r="P860" s="72"/>
      <c r="Q860" s="63">
        <f t="shared" si="60"/>
        <v>49.2</v>
      </c>
      <c r="R860" s="72">
        <f t="shared" si="60"/>
        <v>0</v>
      </c>
      <c r="S860" s="63">
        <f t="shared" si="61"/>
        <v>49.2</v>
      </c>
    </row>
    <row r="861" spans="1:19" x14ac:dyDescent="0.25">
      <c r="A861" s="116" t="s">
        <v>2817</v>
      </c>
      <c r="B861" s="116" t="s">
        <v>2818</v>
      </c>
      <c r="C861" s="117">
        <v>543</v>
      </c>
      <c r="D861" s="91" t="s">
        <v>2821</v>
      </c>
      <c r="E861" s="91" t="s">
        <v>19</v>
      </c>
      <c r="F861" s="75">
        <v>41649</v>
      </c>
      <c r="G861" s="118"/>
      <c r="H861" s="72"/>
      <c r="I861" s="72"/>
      <c r="J861" s="72"/>
      <c r="K861" s="72"/>
      <c r="L861" s="72"/>
      <c r="M861" s="72"/>
      <c r="N861" s="72"/>
      <c r="O861" s="72"/>
      <c r="P861" s="72"/>
      <c r="Q861" s="63">
        <f t="shared" si="60"/>
        <v>0</v>
      </c>
      <c r="R861" s="72">
        <f t="shared" si="60"/>
        <v>0</v>
      </c>
      <c r="S861" s="63">
        <f t="shared" si="61"/>
        <v>0</v>
      </c>
    </row>
    <row r="862" spans="1:19" x14ac:dyDescent="0.25">
      <c r="A862" s="116" t="s">
        <v>2817</v>
      </c>
      <c r="B862" s="116" t="s">
        <v>2818</v>
      </c>
      <c r="C862" s="117">
        <v>543</v>
      </c>
      <c r="D862" s="91" t="s">
        <v>2822</v>
      </c>
      <c r="E862" s="91" t="s">
        <v>19</v>
      </c>
      <c r="F862" s="75">
        <v>41649</v>
      </c>
      <c r="G862" s="118">
        <v>115</v>
      </c>
      <c r="H862" s="72"/>
      <c r="I862" s="72"/>
      <c r="J862" s="72"/>
      <c r="K862" s="72"/>
      <c r="L862" s="72"/>
      <c r="M862" s="72"/>
      <c r="N862" s="72"/>
      <c r="O862" s="72"/>
      <c r="P862" s="72"/>
      <c r="Q862" s="63">
        <f t="shared" si="60"/>
        <v>115</v>
      </c>
      <c r="R862" s="72">
        <f t="shared" si="60"/>
        <v>0</v>
      </c>
      <c r="S862" s="63">
        <f t="shared" si="61"/>
        <v>115</v>
      </c>
    </row>
    <row r="863" spans="1:19" x14ac:dyDescent="0.25">
      <c r="A863" s="116" t="s">
        <v>2817</v>
      </c>
      <c r="B863" s="116" t="s">
        <v>2818</v>
      </c>
      <c r="C863" s="117">
        <v>543</v>
      </c>
      <c r="D863" s="91" t="s">
        <v>2823</v>
      </c>
      <c r="E863" s="91" t="s">
        <v>19</v>
      </c>
      <c r="F863" s="75">
        <v>41649</v>
      </c>
      <c r="G863" s="118">
        <v>49.6</v>
      </c>
      <c r="H863" s="72"/>
      <c r="I863" s="72"/>
      <c r="J863" s="72"/>
      <c r="K863" s="72"/>
      <c r="L863" s="72"/>
      <c r="M863" s="72"/>
      <c r="N863" s="72"/>
      <c r="O863" s="72"/>
      <c r="P863" s="72"/>
      <c r="Q863" s="63">
        <f t="shared" si="60"/>
        <v>49.6</v>
      </c>
      <c r="R863" s="72">
        <f t="shared" si="60"/>
        <v>0</v>
      </c>
      <c r="S863" s="63">
        <f t="shared" si="61"/>
        <v>49.6</v>
      </c>
    </row>
    <row r="864" spans="1:19" x14ac:dyDescent="0.25">
      <c r="A864" s="116" t="s">
        <v>2824</v>
      </c>
      <c r="B864" s="116" t="s">
        <v>2825</v>
      </c>
      <c r="C864" s="117">
        <v>544</v>
      </c>
      <c r="D864" s="91" t="s">
        <v>2826</v>
      </c>
      <c r="E864" s="91" t="s">
        <v>19</v>
      </c>
      <c r="F864" s="75">
        <v>41676</v>
      </c>
      <c r="G864" s="118">
        <v>194.4</v>
      </c>
      <c r="H864" s="72"/>
      <c r="I864" s="72"/>
      <c r="J864" s="72"/>
      <c r="K864" s="72"/>
      <c r="L864" s="72"/>
      <c r="M864" s="72"/>
      <c r="N864" s="72"/>
      <c r="O864" s="72"/>
      <c r="P864" s="72"/>
      <c r="Q864" s="63">
        <f t="shared" si="60"/>
        <v>194.4</v>
      </c>
      <c r="R864" s="72">
        <f t="shared" si="60"/>
        <v>0</v>
      </c>
      <c r="S864" s="63">
        <f t="shared" si="61"/>
        <v>194.4</v>
      </c>
    </row>
    <row r="865" spans="1:19" x14ac:dyDescent="0.25">
      <c r="A865" s="116" t="s">
        <v>2827</v>
      </c>
      <c r="B865" s="116" t="s">
        <v>2828</v>
      </c>
      <c r="C865" s="117">
        <v>545</v>
      </c>
      <c r="D865" s="91" t="s">
        <v>2829</v>
      </c>
      <c r="E865" s="91" t="s">
        <v>19</v>
      </c>
      <c r="F865" s="75">
        <v>41649</v>
      </c>
      <c r="G865" s="118">
        <v>49.1</v>
      </c>
      <c r="H865" s="72"/>
      <c r="I865" s="72"/>
      <c r="J865" s="72"/>
      <c r="K865" s="72"/>
      <c r="L865" s="72"/>
      <c r="M865" s="72"/>
      <c r="N865" s="72"/>
      <c r="O865" s="72"/>
      <c r="P865" s="72"/>
      <c r="Q865" s="63">
        <f t="shared" si="60"/>
        <v>49.1</v>
      </c>
      <c r="R865" s="72">
        <f t="shared" si="60"/>
        <v>0</v>
      </c>
      <c r="S865" s="63">
        <f t="shared" si="61"/>
        <v>49.1</v>
      </c>
    </row>
    <row r="866" spans="1:19" x14ac:dyDescent="0.25">
      <c r="A866" s="116" t="s">
        <v>2827</v>
      </c>
      <c r="B866" s="116" t="s">
        <v>2828</v>
      </c>
      <c r="C866" s="117">
        <v>545</v>
      </c>
      <c r="D866" s="91" t="s">
        <v>2830</v>
      </c>
      <c r="E866" s="91" t="s">
        <v>19</v>
      </c>
      <c r="F866" s="75">
        <v>41649</v>
      </c>
      <c r="G866" s="118">
        <v>128.6</v>
      </c>
      <c r="H866" s="72"/>
      <c r="I866" s="72"/>
      <c r="J866" s="72"/>
      <c r="K866" s="72"/>
      <c r="L866" s="72"/>
      <c r="M866" s="72"/>
      <c r="N866" s="72"/>
      <c r="O866" s="72"/>
      <c r="P866" s="72"/>
      <c r="Q866" s="63">
        <f t="shared" si="60"/>
        <v>128.6</v>
      </c>
      <c r="R866" s="72">
        <f t="shared" si="60"/>
        <v>0</v>
      </c>
      <c r="S866" s="63">
        <f t="shared" si="61"/>
        <v>128.6</v>
      </c>
    </row>
    <row r="867" spans="1:19" x14ac:dyDescent="0.25">
      <c r="A867" s="116" t="s">
        <v>2827</v>
      </c>
      <c r="B867" s="116" t="s">
        <v>2828</v>
      </c>
      <c r="C867" s="117">
        <v>545</v>
      </c>
      <c r="D867" s="91" t="s">
        <v>2831</v>
      </c>
      <c r="E867" s="91" t="s">
        <v>19</v>
      </c>
      <c r="F867" s="75">
        <v>41649</v>
      </c>
      <c r="G867" s="118"/>
      <c r="H867" s="72"/>
      <c r="I867" s="72"/>
      <c r="J867" s="72"/>
      <c r="K867" s="72"/>
      <c r="L867" s="72"/>
      <c r="M867" s="72"/>
      <c r="N867" s="72"/>
      <c r="O867" s="72"/>
      <c r="P867" s="72"/>
      <c r="Q867" s="63">
        <f t="shared" si="60"/>
        <v>0</v>
      </c>
      <c r="R867" s="72">
        <f t="shared" si="60"/>
        <v>0</v>
      </c>
      <c r="S867" s="63">
        <f t="shared" si="61"/>
        <v>0</v>
      </c>
    </row>
    <row r="868" spans="1:19" x14ac:dyDescent="0.25">
      <c r="A868" s="116" t="s">
        <v>2827</v>
      </c>
      <c r="B868" s="116" t="s">
        <v>2828</v>
      </c>
      <c r="C868" s="117">
        <v>545</v>
      </c>
      <c r="D868" s="91" t="s">
        <v>2832</v>
      </c>
      <c r="E868" s="91" t="s">
        <v>19</v>
      </c>
      <c r="F868" s="75">
        <v>41649</v>
      </c>
      <c r="G868" s="118"/>
      <c r="H868" s="72"/>
      <c r="I868" s="72"/>
      <c r="J868" s="72"/>
      <c r="K868" s="72"/>
      <c r="L868" s="72"/>
      <c r="M868" s="72"/>
      <c r="N868" s="72"/>
      <c r="O868" s="72"/>
      <c r="P868" s="72"/>
      <c r="Q868" s="63">
        <f t="shared" si="60"/>
        <v>0</v>
      </c>
      <c r="R868" s="72">
        <f t="shared" si="60"/>
        <v>0</v>
      </c>
      <c r="S868" s="63">
        <f t="shared" si="61"/>
        <v>0</v>
      </c>
    </row>
    <row r="869" spans="1:19" x14ac:dyDescent="0.25">
      <c r="A869" s="116" t="s">
        <v>2833</v>
      </c>
      <c r="B869" s="116" t="s">
        <v>2834</v>
      </c>
      <c r="C869" s="117">
        <v>546</v>
      </c>
      <c r="D869" s="91" t="s">
        <v>2835</v>
      </c>
      <c r="E869" s="91" t="s">
        <v>19</v>
      </c>
      <c r="F869" s="75">
        <v>41743</v>
      </c>
      <c r="G869" s="118">
        <f>334.3</f>
        <v>334.3</v>
      </c>
      <c r="H869" s="72"/>
      <c r="I869" s="72"/>
      <c r="J869" s="72"/>
      <c r="K869" s="72"/>
      <c r="L869" s="72"/>
      <c r="M869" s="72"/>
      <c r="N869" s="72"/>
      <c r="O869" s="72"/>
      <c r="P869" s="72"/>
      <c r="Q869" s="63">
        <f t="shared" si="60"/>
        <v>334.3</v>
      </c>
      <c r="R869" s="72">
        <f t="shared" si="60"/>
        <v>0</v>
      </c>
      <c r="S869" s="63">
        <f t="shared" si="61"/>
        <v>334.3</v>
      </c>
    </row>
    <row r="870" spans="1:19" x14ac:dyDescent="0.25">
      <c r="A870" s="116" t="s">
        <v>2833</v>
      </c>
      <c r="B870" s="116" t="s">
        <v>2834</v>
      </c>
      <c r="C870" s="117">
        <v>546</v>
      </c>
      <c r="D870" s="91" t="s">
        <v>2836</v>
      </c>
      <c r="E870" s="91" t="s">
        <v>19</v>
      </c>
      <c r="F870" s="75">
        <v>41743</v>
      </c>
      <c r="G870" s="118">
        <v>107.7</v>
      </c>
      <c r="H870" s="72"/>
      <c r="I870" s="72"/>
      <c r="J870" s="72"/>
      <c r="K870" s="72"/>
      <c r="L870" s="72"/>
      <c r="M870" s="72"/>
      <c r="N870" s="72"/>
      <c r="O870" s="72"/>
      <c r="P870" s="72"/>
      <c r="Q870" s="63">
        <f t="shared" si="60"/>
        <v>107.7</v>
      </c>
      <c r="R870" s="72">
        <f t="shared" si="60"/>
        <v>0</v>
      </c>
      <c r="S870" s="63">
        <f t="shared" si="61"/>
        <v>107.7</v>
      </c>
    </row>
    <row r="871" spans="1:19" x14ac:dyDescent="0.25">
      <c r="A871" s="116" t="s">
        <v>2837</v>
      </c>
      <c r="B871" s="116" t="s">
        <v>2838</v>
      </c>
      <c r="C871" s="117">
        <v>547</v>
      </c>
      <c r="D871" s="91" t="s">
        <v>2839</v>
      </c>
      <c r="E871" s="91" t="s">
        <v>19</v>
      </c>
      <c r="F871" s="75">
        <v>41649</v>
      </c>
      <c r="G871" s="118">
        <v>173.9</v>
      </c>
      <c r="H871" s="72"/>
      <c r="I871" s="72"/>
      <c r="J871" s="72"/>
      <c r="K871" s="72"/>
      <c r="L871" s="72"/>
      <c r="M871" s="72"/>
      <c r="N871" s="72"/>
      <c r="O871" s="72"/>
      <c r="P871" s="72"/>
      <c r="Q871" s="63">
        <f t="shared" si="60"/>
        <v>173.9</v>
      </c>
      <c r="R871" s="72">
        <f t="shared" si="60"/>
        <v>0</v>
      </c>
      <c r="S871" s="63">
        <f t="shared" si="61"/>
        <v>173.9</v>
      </c>
    </row>
    <row r="872" spans="1:19" x14ac:dyDescent="0.25">
      <c r="A872" s="116" t="s">
        <v>2840</v>
      </c>
      <c r="B872" s="116" t="s">
        <v>2841</v>
      </c>
      <c r="C872" s="117">
        <v>548</v>
      </c>
      <c r="D872" s="91" t="s">
        <v>2842</v>
      </c>
      <c r="E872" s="91" t="s">
        <v>19</v>
      </c>
      <c r="F872" s="75">
        <v>41649</v>
      </c>
      <c r="G872" s="118">
        <v>101</v>
      </c>
      <c r="H872" s="72"/>
      <c r="I872" s="72"/>
      <c r="J872" s="72"/>
      <c r="K872" s="72"/>
      <c r="L872" s="72"/>
      <c r="M872" s="72"/>
      <c r="N872" s="72"/>
      <c r="O872" s="72"/>
      <c r="P872" s="72"/>
      <c r="Q872" s="63">
        <f t="shared" si="60"/>
        <v>101</v>
      </c>
      <c r="R872" s="72">
        <f t="shared" si="60"/>
        <v>0</v>
      </c>
      <c r="S872" s="63">
        <f t="shared" si="61"/>
        <v>101</v>
      </c>
    </row>
    <row r="873" spans="1:19" x14ac:dyDescent="0.25">
      <c r="A873" s="116" t="s">
        <v>2048</v>
      </c>
      <c r="B873" s="116" t="s">
        <v>2049</v>
      </c>
      <c r="C873" s="117">
        <v>549</v>
      </c>
      <c r="D873" s="91" t="s">
        <v>2051</v>
      </c>
      <c r="E873" s="91" t="s">
        <v>19</v>
      </c>
      <c r="F873" s="75">
        <v>41743</v>
      </c>
      <c r="G873" s="118">
        <v>353.4</v>
      </c>
      <c r="H873" s="72"/>
      <c r="I873" s="72"/>
      <c r="J873" s="72"/>
      <c r="K873" s="72"/>
      <c r="L873" s="72"/>
      <c r="M873" s="72"/>
      <c r="N873" s="72"/>
      <c r="O873" s="72"/>
      <c r="P873" s="72"/>
      <c r="Q873" s="63">
        <f t="shared" si="60"/>
        <v>353.4</v>
      </c>
      <c r="R873" s="72">
        <f t="shared" si="60"/>
        <v>0</v>
      </c>
      <c r="S873" s="63">
        <f t="shared" si="61"/>
        <v>353.4</v>
      </c>
    </row>
    <row r="874" spans="1:19" x14ac:dyDescent="0.25">
      <c r="A874" s="116" t="s">
        <v>2048</v>
      </c>
      <c r="B874" s="116" t="s">
        <v>2049</v>
      </c>
      <c r="C874" s="117">
        <v>549</v>
      </c>
      <c r="D874" s="91" t="s">
        <v>2843</v>
      </c>
      <c r="E874" s="91" t="s">
        <v>19</v>
      </c>
      <c r="F874" s="75">
        <v>41743</v>
      </c>
      <c r="G874" s="118"/>
      <c r="H874" s="72"/>
      <c r="I874" s="72"/>
      <c r="J874" s="72"/>
      <c r="K874" s="72"/>
      <c r="L874" s="72"/>
      <c r="M874" s="72"/>
      <c r="N874" s="72"/>
      <c r="O874" s="72"/>
      <c r="P874" s="72"/>
      <c r="Q874" s="63">
        <f t="shared" si="60"/>
        <v>0</v>
      </c>
      <c r="R874" s="72">
        <f t="shared" si="60"/>
        <v>0</v>
      </c>
      <c r="S874" s="63">
        <f t="shared" si="61"/>
        <v>0</v>
      </c>
    </row>
    <row r="875" spans="1:19" x14ac:dyDescent="0.25">
      <c r="A875" s="116" t="s">
        <v>2048</v>
      </c>
      <c r="B875" s="116" t="s">
        <v>2049</v>
      </c>
      <c r="C875" s="117">
        <v>549</v>
      </c>
      <c r="D875" s="91" t="s">
        <v>2052</v>
      </c>
      <c r="E875" s="91" t="s">
        <v>19</v>
      </c>
      <c r="F875" s="75">
        <v>41743</v>
      </c>
      <c r="G875" s="118"/>
      <c r="H875" s="72"/>
      <c r="I875" s="72"/>
      <c r="J875" s="72"/>
      <c r="K875" s="72"/>
      <c r="L875" s="72"/>
      <c r="M875" s="72"/>
      <c r="N875" s="72"/>
      <c r="O875" s="72"/>
      <c r="P875" s="72"/>
      <c r="Q875" s="63">
        <f t="shared" si="60"/>
        <v>0</v>
      </c>
      <c r="R875" s="72">
        <f t="shared" si="60"/>
        <v>0</v>
      </c>
      <c r="S875" s="63">
        <f t="shared" si="61"/>
        <v>0</v>
      </c>
    </row>
    <row r="876" spans="1:19" x14ac:dyDescent="0.25">
      <c r="A876" s="116" t="s">
        <v>2844</v>
      </c>
      <c r="B876" s="116" t="s">
        <v>2845</v>
      </c>
      <c r="C876" s="117">
        <v>550</v>
      </c>
      <c r="D876" s="91" t="s">
        <v>2846</v>
      </c>
      <c r="E876" s="91" t="s">
        <v>19</v>
      </c>
      <c r="F876" s="75">
        <v>41676</v>
      </c>
      <c r="G876" s="118">
        <v>402</v>
      </c>
      <c r="H876" s="72"/>
      <c r="I876" s="72"/>
      <c r="J876" s="72"/>
      <c r="K876" s="72"/>
      <c r="L876" s="72"/>
      <c r="M876" s="72"/>
      <c r="N876" s="72"/>
      <c r="O876" s="72"/>
      <c r="P876" s="72"/>
      <c r="Q876" s="63">
        <f t="shared" si="60"/>
        <v>402</v>
      </c>
      <c r="R876" s="72">
        <f t="shared" si="60"/>
        <v>0</v>
      </c>
      <c r="S876" s="63">
        <f t="shared" si="61"/>
        <v>402</v>
      </c>
    </row>
    <row r="877" spans="1:19" x14ac:dyDescent="0.25">
      <c r="A877" s="116" t="s">
        <v>2847</v>
      </c>
      <c r="B877" s="116" t="s">
        <v>2848</v>
      </c>
      <c r="C877" s="117">
        <v>551</v>
      </c>
      <c r="D877" s="91" t="s">
        <v>2849</v>
      </c>
      <c r="E877" s="91" t="s">
        <v>19</v>
      </c>
      <c r="F877" s="75">
        <v>41676</v>
      </c>
      <c r="G877" s="118">
        <v>109.6</v>
      </c>
      <c r="H877" s="72"/>
      <c r="I877" s="72"/>
      <c r="J877" s="72"/>
      <c r="K877" s="72"/>
      <c r="L877" s="72"/>
      <c r="M877" s="72"/>
      <c r="N877" s="72"/>
      <c r="O877" s="72"/>
      <c r="P877" s="72"/>
      <c r="Q877" s="63">
        <f t="shared" si="60"/>
        <v>109.6</v>
      </c>
      <c r="R877" s="72">
        <f t="shared" si="60"/>
        <v>0</v>
      </c>
      <c r="S877" s="63">
        <f t="shared" si="61"/>
        <v>109.6</v>
      </c>
    </row>
    <row r="878" spans="1:19" x14ac:dyDescent="0.25">
      <c r="A878" s="116" t="s">
        <v>2850</v>
      </c>
      <c r="B878" s="116" t="s">
        <v>2851</v>
      </c>
      <c r="C878" s="117">
        <v>552</v>
      </c>
      <c r="D878" s="91" t="s">
        <v>2852</v>
      </c>
      <c r="E878" s="91" t="s">
        <v>19</v>
      </c>
      <c r="F878" s="75">
        <v>41676</v>
      </c>
      <c r="G878" s="118">
        <v>75.599999999999994</v>
      </c>
      <c r="H878" s="72"/>
      <c r="I878" s="72"/>
      <c r="J878" s="72"/>
      <c r="K878" s="72"/>
      <c r="L878" s="72"/>
      <c r="M878" s="72"/>
      <c r="N878" s="72"/>
      <c r="O878" s="72"/>
      <c r="P878" s="72"/>
      <c r="Q878" s="63">
        <f t="shared" si="60"/>
        <v>75.599999999999994</v>
      </c>
      <c r="R878" s="72">
        <f t="shared" si="60"/>
        <v>0</v>
      </c>
      <c r="S878" s="63">
        <f t="shared" si="61"/>
        <v>75.599999999999994</v>
      </c>
    </row>
    <row r="879" spans="1:19" x14ac:dyDescent="0.25">
      <c r="A879" s="116" t="s">
        <v>2850</v>
      </c>
      <c r="B879" s="116" t="s">
        <v>2851</v>
      </c>
      <c r="C879" s="117">
        <v>552</v>
      </c>
      <c r="D879" s="91" t="s">
        <v>2853</v>
      </c>
      <c r="E879" s="91" t="s">
        <v>19</v>
      </c>
      <c r="F879" s="75">
        <v>41676</v>
      </c>
      <c r="G879" s="118">
        <v>75.3</v>
      </c>
      <c r="H879" s="72"/>
      <c r="I879" s="72"/>
      <c r="J879" s="72"/>
      <c r="K879" s="72"/>
      <c r="L879" s="72"/>
      <c r="M879" s="72"/>
      <c r="N879" s="72"/>
      <c r="O879" s="72"/>
      <c r="P879" s="72"/>
      <c r="Q879" s="63">
        <f t="shared" si="60"/>
        <v>75.3</v>
      </c>
      <c r="R879" s="72">
        <f t="shared" si="60"/>
        <v>0</v>
      </c>
      <c r="S879" s="63">
        <f t="shared" si="61"/>
        <v>75.3</v>
      </c>
    </row>
    <row r="880" spans="1:19" x14ac:dyDescent="0.25">
      <c r="A880" s="116" t="s">
        <v>2850</v>
      </c>
      <c r="B880" s="116" t="s">
        <v>2851</v>
      </c>
      <c r="C880" s="117">
        <v>552</v>
      </c>
      <c r="D880" s="91" t="s">
        <v>2854</v>
      </c>
      <c r="E880" s="91" t="s">
        <v>19</v>
      </c>
      <c r="F880" s="75">
        <v>41676</v>
      </c>
      <c r="G880" s="118">
        <v>76.3</v>
      </c>
      <c r="H880" s="72"/>
      <c r="I880" s="72"/>
      <c r="J880" s="72"/>
      <c r="K880" s="72"/>
      <c r="L880" s="72"/>
      <c r="M880" s="72"/>
      <c r="N880" s="72"/>
      <c r="O880" s="72"/>
      <c r="P880" s="72"/>
      <c r="Q880" s="63">
        <f t="shared" si="60"/>
        <v>76.3</v>
      </c>
      <c r="R880" s="72">
        <f t="shared" si="60"/>
        <v>0</v>
      </c>
      <c r="S880" s="63">
        <f t="shared" si="61"/>
        <v>76.3</v>
      </c>
    </row>
    <row r="881" spans="1:19" x14ac:dyDescent="0.25">
      <c r="A881" s="116" t="s">
        <v>2850</v>
      </c>
      <c r="B881" s="116" t="s">
        <v>2851</v>
      </c>
      <c r="C881" s="117">
        <v>552</v>
      </c>
      <c r="D881" s="91" t="s">
        <v>2855</v>
      </c>
      <c r="E881" s="91" t="s">
        <v>19</v>
      </c>
      <c r="F881" s="75">
        <v>41676</v>
      </c>
      <c r="G881" s="118">
        <v>75</v>
      </c>
      <c r="H881" s="72"/>
      <c r="I881" s="72"/>
      <c r="J881" s="72"/>
      <c r="K881" s="72"/>
      <c r="L881" s="72"/>
      <c r="M881" s="72"/>
      <c r="N881" s="72"/>
      <c r="O881" s="72"/>
      <c r="P881" s="72"/>
      <c r="Q881" s="63">
        <f t="shared" si="60"/>
        <v>75</v>
      </c>
      <c r="R881" s="72">
        <f t="shared" si="60"/>
        <v>0</v>
      </c>
      <c r="S881" s="63">
        <f t="shared" si="61"/>
        <v>75</v>
      </c>
    </row>
    <row r="882" spans="1:19" x14ac:dyDescent="0.25">
      <c r="A882" s="116" t="s">
        <v>2850</v>
      </c>
      <c r="B882" s="116" t="s">
        <v>2851</v>
      </c>
      <c r="C882" s="117">
        <v>552</v>
      </c>
      <c r="D882" s="91" t="s">
        <v>2856</v>
      </c>
      <c r="E882" s="91" t="s">
        <v>19</v>
      </c>
      <c r="F882" s="75">
        <v>41676</v>
      </c>
      <c r="G882" s="118">
        <v>76.7</v>
      </c>
      <c r="H882" s="72"/>
      <c r="I882" s="72"/>
      <c r="J882" s="72"/>
      <c r="K882" s="72"/>
      <c r="L882" s="72"/>
      <c r="M882" s="72"/>
      <c r="N882" s="72"/>
      <c r="O882" s="72"/>
      <c r="P882" s="72"/>
      <c r="Q882" s="63">
        <f t="shared" si="60"/>
        <v>76.7</v>
      </c>
      <c r="R882" s="72">
        <f t="shared" si="60"/>
        <v>0</v>
      </c>
      <c r="S882" s="63">
        <f t="shared" si="61"/>
        <v>76.7</v>
      </c>
    </row>
    <row r="883" spans="1:19" x14ac:dyDescent="0.25">
      <c r="A883" s="116" t="s">
        <v>2850</v>
      </c>
      <c r="B883" s="116" t="s">
        <v>2851</v>
      </c>
      <c r="C883" s="117">
        <v>552</v>
      </c>
      <c r="D883" s="91" t="s">
        <v>2857</v>
      </c>
      <c r="E883" s="91" t="s">
        <v>19</v>
      </c>
      <c r="F883" s="75">
        <v>41676</v>
      </c>
      <c r="G883" s="118">
        <f>75</f>
        <v>75</v>
      </c>
      <c r="H883" s="72"/>
      <c r="I883" s="72"/>
      <c r="J883" s="72"/>
      <c r="K883" s="72"/>
      <c r="L883" s="72"/>
      <c r="M883" s="72"/>
      <c r="N883" s="72"/>
      <c r="O883" s="72"/>
      <c r="P883" s="72"/>
      <c r="Q883" s="63">
        <f t="shared" si="60"/>
        <v>75</v>
      </c>
      <c r="R883" s="72">
        <f t="shared" si="60"/>
        <v>0</v>
      </c>
      <c r="S883" s="63">
        <f t="shared" si="61"/>
        <v>75</v>
      </c>
    </row>
    <row r="884" spans="1:19" x14ac:dyDescent="0.25">
      <c r="A884" s="116" t="s">
        <v>2858</v>
      </c>
      <c r="B884" s="116" t="s">
        <v>2859</v>
      </c>
      <c r="C884" s="117">
        <v>553</v>
      </c>
      <c r="D884" s="91" t="s">
        <v>2860</v>
      </c>
      <c r="E884" s="91" t="s">
        <v>19</v>
      </c>
      <c r="F884" s="75">
        <v>41649</v>
      </c>
      <c r="G884" s="118">
        <v>109.6</v>
      </c>
      <c r="H884" s="72"/>
      <c r="I884" s="72"/>
      <c r="J884" s="72"/>
      <c r="K884" s="72"/>
      <c r="L884" s="72"/>
      <c r="M884" s="72"/>
      <c r="N884" s="72"/>
      <c r="O884" s="72"/>
      <c r="P884" s="72"/>
      <c r="Q884" s="63">
        <f t="shared" si="60"/>
        <v>109.6</v>
      </c>
      <c r="R884" s="72">
        <f t="shared" si="60"/>
        <v>0</v>
      </c>
      <c r="S884" s="63">
        <f t="shared" si="61"/>
        <v>109.6</v>
      </c>
    </row>
    <row r="885" spans="1:19" x14ac:dyDescent="0.25">
      <c r="A885" s="116" t="s">
        <v>2858</v>
      </c>
      <c r="B885" s="116" t="s">
        <v>2859</v>
      </c>
      <c r="C885" s="117">
        <v>553</v>
      </c>
      <c r="D885" s="91" t="s">
        <v>2861</v>
      </c>
      <c r="E885" s="91" t="s">
        <v>19</v>
      </c>
      <c r="F885" s="75">
        <v>41649</v>
      </c>
      <c r="G885" s="118">
        <v>40.9</v>
      </c>
      <c r="H885" s="72"/>
      <c r="I885" s="72"/>
      <c r="J885" s="72"/>
      <c r="K885" s="72"/>
      <c r="L885" s="72"/>
      <c r="M885" s="72"/>
      <c r="N885" s="72"/>
      <c r="O885" s="72"/>
      <c r="P885" s="72"/>
      <c r="Q885" s="63">
        <f t="shared" si="60"/>
        <v>40.9</v>
      </c>
      <c r="R885" s="72">
        <f t="shared" si="60"/>
        <v>0</v>
      </c>
      <c r="S885" s="63">
        <f t="shared" si="61"/>
        <v>40.9</v>
      </c>
    </row>
    <row r="886" spans="1:19" x14ac:dyDescent="0.25">
      <c r="A886" s="116" t="s">
        <v>2858</v>
      </c>
      <c r="B886" s="116" t="s">
        <v>2859</v>
      </c>
      <c r="C886" s="117">
        <v>553</v>
      </c>
      <c r="D886" s="91" t="s">
        <v>2862</v>
      </c>
      <c r="E886" s="91" t="s">
        <v>19</v>
      </c>
      <c r="F886" s="75">
        <v>41649</v>
      </c>
      <c r="G886" s="118">
        <v>151.19999999999999</v>
      </c>
      <c r="H886" s="72"/>
      <c r="I886" s="72"/>
      <c r="J886" s="72"/>
      <c r="K886" s="72"/>
      <c r="L886" s="72"/>
      <c r="M886" s="72"/>
      <c r="N886" s="72"/>
      <c r="O886" s="72"/>
      <c r="P886" s="72"/>
      <c r="Q886" s="63">
        <f t="shared" si="60"/>
        <v>151.19999999999999</v>
      </c>
      <c r="R886" s="72">
        <f t="shared" si="60"/>
        <v>0</v>
      </c>
      <c r="S886" s="63">
        <f t="shared" si="61"/>
        <v>151.19999999999999</v>
      </c>
    </row>
    <row r="887" spans="1:19" x14ac:dyDescent="0.25">
      <c r="A887" s="116" t="s">
        <v>2863</v>
      </c>
      <c r="B887" s="116" t="s">
        <v>2864</v>
      </c>
      <c r="C887" s="117">
        <v>554</v>
      </c>
      <c r="D887" s="91" t="s">
        <v>2865</v>
      </c>
      <c r="E887" s="91" t="s">
        <v>19</v>
      </c>
      <c r="F887" s="75">
        <v>41634</v>
      </c>
      <c r="G887" s="118">
        <f>532.5+41.3+41.3</f>
        <v>615.09999999999991</v>
      </c>
      <c r="H887" s="72"/>
      <c r="I887" s="120">
        <v>750</v>
      </c>
      <c r="J887" s="72"/>
      <c r="K887" s="72"/>
      <c r="L887" s="72"/>
      <c r="M887" s="72"/>
      <c r="N887" s="72"/>
      <c r="O887" s="72"/>
      <c r="P887" s="72"/>
      <c r="Q887" s="63">
        <f t="shared" si="60"/>
        <v>1365.1</v>
      </c>
      <c r="R887" s="72">
        <f t="shared" si="60"/>
        <v>0</v>
      </c>
      <c r="S887" s="63">
        <f t="shared" si="61"/>
        <v>1365.1</v>
      </c>
    </row>
    <row r="888" spans="1:19" x14ac:dyDescent="0.25">
      <c r="A888" s="116" t="s">
        <v>2863</v>
      </c>
      <c r="B888" s="116" t="s">
        <v>2864</v>
      </c>
      <c r="C888" s="117">
        <v>554</v>
      </c>
      <c r="D888" s="91" t="s">
        <v>2866</v>
      </c>
      <c r="E888" s="91" t="s">
        <v>19</v>
      </c>
      <c r="F888" s="75">
        <v>41634</v>
      </c>
      <c r="G888" s="118">
        <f>4513.55+6.25+13.4+53.77+41.3+41.3+41.3+123.5</f>
        <v>4834.3700000000008</v>
      </c>
      <c r="H888" s="72"/>
      <c r="I888" s="120">
        <v>750</v>
      </c>
      <c r="J888" s="72"/>
      <c r="K888" s="72"/>
      <c r="L888" s="72"/>
      <c r="M888" s="72"/>
      <c r="N888" s="72"/>
      <c r="O888" s="72"/>
      <c r="P888" s="72"/>
      <c r="Q888" s="63">
        <f t="shared" si="60"/>
        <v>5584.3700000000008</v>
      </c>
      <c r="R888" s="72">
        <f t="shared" si="60"/>
        <v>0</v>
      </c>
      <c r="S888" s="63">
        <f t="shared" si="61"/>
        <v>5584.3700000000008</v>
      </c>
    </row>
    <row r="889" spans="1:19" x14ac:dyDescent="0.25">
      <c r="A889" s="116" t="s">
        <v>2863</v>
      </c>
      <c r="B889" s="116" t="s">
        <v>2864</v>
      </c>
      <c r="C889" s="117">
        <v>554</v>
      </c>
      <c r="D889" s="91" t="s">
        <v>2867</v>
      </c>
      <c r="E889" s="91" t="s">
        <v>19</v>
      </c>
      <c r="F889" s="75">
        <v>41634</v>
      </c>
      <c r="G889" s="118">
        <v>88.65</v>
      </c>
      <c r="H889" s="72"/>
      <c r="I889" s="73"/>
      <c r="J889" s="72"/>
      <c r="K889" s="72"/>
      <c r="L889" s="72"/>
      <c r="M889" s="72"/>
      <c r="N889" s="72"/>
      <c r="O889" s="72"/>
      <c r="P889" s="72"/>
      <c r="Q889" s="63">
        <f t="shared" si="60"/>
        <v>88.65</v>
      </c>
      <c r="R889" s="72">
        <f t="shared" si="60"/>
        <v>0</v>
      </c>
      <c r="S889" s="63">
        <f t="shared" si="61"/>
        <v>88.65</v>
      </c>
    </row>
    <row r="890" spans="1:19" x14ac:dyDescent="0.25">
      <c r="A890" s="116" t="s">
        <v>2868</v>
      </c>
      <c r="B890" s="116" t="s">
        <v>2869</v>
      </c>
      <c r="C890" s="117">
        <v>555</v>
      </c>
      <c r="D890" s="91" t="s">
        <v>2870</v>
      </c>
      <c r="E890" s="91" t="s">
        <v>19</v>
      </c>
      <c r="F890" s="75">
        <v>41631</v>
      </c>
      <c r="G890" s="118">
        <f>41.3+41.3+96.6+96.6+211.6</f>
        <v>487.4</v>
      </c>
      <c r="H890" s="72"/>
      <c r="I890" s="120">
        <v>500</v>
      </c>
      <c r="J890" s="72"/>
      <c r="K890" s="72"/>
      <c r="L890" s="72"/>
      <c r="M890" s="72"/>
      <c r="N890" s="72"/>
      <c r="O890" s="72"/>
      <c r="P890" s="72"/>
      <c r="Q890" s="63">
        <f t="shared" si="60"/>
        <v>987.4</v>
      </c>
      <c r="R890" s="72">
        <f t="shared" si="60"/>
        <v>0</v>
      </c>
      <c r="S890" s="63">
        <f t="shared" si="61"/>
        <v>987.4</v>
      </c>
    </row>
    <row r="891" spans="1:19" x14ac:dyDescent="0.25">
      <c r="A891" s="116" t="s">
        <v>2871</v>
      </c>
      <c r="B891" s="116" t="s">
        <v>2872</v>
      </c>
      <c r="C891" s="117">
        <v>556</v>
      </c>
      <c r="D891" s="91" t="s">
        <v>2873</v>
      </c>
      <c r="E891" s="91" t="s">
        <v>19</v>
      </c>
      <c r="F891" s="75">
        <v>41634</v>
      </c>
      <c r="G891" s="118">
        <f>320+225.99+70+129+210</f>
        <v>954.99</v>
      </c>
      <c r="H891" s="72"/>
      <c r="I891" s="120">
        <f>2250+750+700</f>
        <v>3700</v>
      </c>
      <c r="J891" s="72"/>
      <c r="K891" s="72"/>
      <c r="L891" s="72"/>
      <c r="M891" s="72"/>
      <c r="N891" s="72"/>
      <c r="O891" s="72"/>
      <c r="P891" s="72"/>
      <c r="Q891" s="63">
        <f t="shared" si="60"/>
        <v>4654.99</v>
      </c>
      <c r="R891" s="72">
        <f t="shared" si="60"/>
        <v>0</v>
      </c>
      <c r="S891" s="63">
        <f t="shared" si="61"/>
        <v>4654.99</v>
      </c>
    </row>
    <row r="892" spans="1:19" x14ac:dyDescent="0.25">
      <c r="A892" s="116" t="s">
        <v>2874</v>
      </c>
      <c r="B892" s="116" t="s">
        <v>2875</v>
      </c>
      <c r="C892" s="117">
        <v>557</v>
      </c>
      <c r="D892" s="91" t="s">
        <v>2876</v>
      </c>
      <c r="E892" s="91" t="s">
        <v>19</v>
      </c>
      <c r="F892" s="75">
        <v>41597</v>
      </c>
      <c r="G892" s="118">
        <v>92.61</v>
      </c>
      <c r="H892" s="72"/>
      <c r="I892" s="72"/>
      <c r="J892" s="72"/>
      <c r="K892" s="72"/>
      <c r="L892" s="72"/>
      <c r="M892" s="72"/>
      <c r="N892" s="72"/>
      <c r="O892" s="72"/>
      <c r="P892" s="72"/>
      <c r="Q892" s="63">
        <f t="shared" si="60"/>
        <v>92.61</v>
      </c>
      <c r="R892" s="72">
        <f t="shared" si="60"/>
        <v>0</v>
      </c>
      <c r="S892" s="63">
        <f t="shared" si="61"/>
        <v>92.61</v>
      </c>
    </row>
    <row r="893" spans="1:19" x14ac:dyDescent="0.25">
      <c r="A893" s="116" t="s">
        <v>2877</v>
      </c>
      <c r="B893" s="116" t="s">
        <v>2878</v>
      </c>
      <c r="C893" s="117">
        <v>558</v>
      </c>
      <c r="D893" s="91" t="s">
        <v>2879</v>
      </c>
      <c r="E893" s="91" t="s">
        <v>19</v>
      </c>
      <c r="F893" s="75">
        <v>41606</v>
      </c>
      <c r="G893" s="118">
        <v>196.8</v>
      </c>
      <c r="H893" s="72"/>
      <c r="I893" s="72"/>
      <c r="J893" s="72"/>
      <c r="K893" s="72"/>
      <c r="L893" s="72"/>
      <c r="M893" s="72"/>
      <c r="N893" s="72"/>
      <c r="O893" s="72"/>
      <c r="P893" s="72"/>
      <c r="Q893" s="63">
        <f t="shared" si="60"/>
        <v>196.8</v>
      </c>
      <c r="R893" s="72">
        <f t="shared" si="60"/>
        <v>0</v>
      </c>
      <c r="S893" s="63">
        <f t="shared" si="61"/>
        <v>196.8</v>
      </c>
    </row>
    <row r="894" spans="1:19" x14ac:dyDescent="0.25">
      <c r="A894" s="116" t="s">
        <v>2880</v>
      </c>
      <c r="B894" s="116" t="s">
        <v>2881</v>
      </c>
      <c r="C894" s="117">
        <v>559</v>
      </c>
      <c r="D894" s="91" t="s">
        <v>2882</v>
      </c>
      <c r="E894" s="91" t="s">
        <v>19</v>
      </c>
      <c r="F894" s="75">
        <v>41597</v>
      </c>
      <c r="G894" s="118">
        <v>113.2</v>
      </c>
      <c r="H894" s="72"/>
      <c r="I894" s="72"/>
      <c r="J894" s="72"/>
      <c r="K894" s="72"/>
      <c r="L894" s="72"/>
      <c r="M894" s="72"/>
      <c r="N894" s="72"/>
      <c r="O894" s="72"/>
      <c r="P894" s="72"/>
      <c r="Q894" s="63">
        <f t="shared" si="60"/>
        <v>113.2</v>
      </c>
      <c r="R894" s="72">
        <f t="shared" si="60"/>
        <v>0</v>
      </c>
      <c r="S894" s="63">
        <f t="shared" si="61"/>
        <v>113.2</v>
      </c>
    </row>
    <row r="895" spans="1:19" x14ac:dyDescent="0.25">
      <c r="A895" s="116" t="s">
        <v>2883</v>
      </c>
      <c r="B895" s="116" t="s">
        <v>2884</v>
      </c>
      <c r="C895" s="117">
        <v>560</v>
      </c>
      <c r="D895" s="91" t="s">
        <v>2885</v>
      </c>
      <c r="E895" s="91" t="s">
        <v>19</v>
      </c>
      <c r="F895" s="75">
        <v>41604</v>
      </c>
      <c r="G895" s="118">
        <v>119.95</v>
      </c>
      <c r="H895" s="72"/>
      <c r="I895" s="72"/>
      <c r="J895" s="72"/>
      <c r="K895" s="72"/>
      <c r="L895" s="72"/>
      <c r="M895" s="72"/>
      <c r="N895" s="72"/>
      <c r="O895" s="72"/>
      <c r="P895" s="72"/>
      <c r="Q895" s="63">
        <f t="shared" si="60"/>
        <v>119.95</v>
      </c>
      <c r="R895" s="72">
        <f t="shared" si="60"/>
        <v>0</v>
      </c>
      <c r="S895" s="63">
        <f t="shared" si="61"/>
        <v>119.95</v>
      </c>
    </row>
    <row r="896" spans="1:19" x14ac:dyDescent="0.25">
      <c r="A896" s="116" t="s">
        <v>2883</v>
      </c>
      <c r="B896" s="116" t="s">
        <v>2884</v>
      </c>
      <c r="C896" s="117">
        <v>560</v>
      </c>
      <c r="D896" s="91" t="s">
        <v>2886</v>
      </c>
      <c r="E896" s="91" t="s">
        <v>19</v>
      </c>
      <c r="F896" s="75">
        <v>41604</v>
      </c>
      <c r="G896" s="118">
        <v>105.02</v>
      </c>
      <c r="H896" s="72"/>
      <c r="I896" s="72"/>
      <c r="J896" s="72"/>
      <c r="K896" s="72"/>
      <c r="L896" s="72"/>
      <c r="M896" s="72"/>
      <c r="N896" s="72"/>
      <c r="O896" s="72"/>
      <c r="P896" s="72"/>
      <c r="Q896" s="63">
        <f t="shared" si="60"/>
        <v>105.02</v>
      </c>
      <c r="R896" s="72">
        <f t="shared" si="60"/>
        <v>0</v>
      </c>
      <c r="S896" s="63">
        <f t="shared" si="61"/>
        <v>105.02</v>
      </c>
    </row>
    <row r="897" spans="1:19" x14ac:dyDescent="0.25">
      <c r="A897" s="116" t="s">
        <v>2883</v>
      </c>
      <c r="B897" s="116" t="s">
        <v>2884</v>
      </c>
      <c r="C897" s="117">
        <v>560</v>
      </c>
      <c r="D897" s="91" t="s">
        <v>2887</v>
      </c>
      <c r="E897" s="91" t="s">
        <v>19</v>
      </c>
      <c r="F897" s="75">
        <v>41604</v>
      </c>
      <c r="G897" s="118">
        <v>112.85</v>
      </c>
      <c r="H897" s="72"/>
      <c r="I897" s="72"/>
      <c r="J897" s="130"/>
      <c r="K897" s="72"/>
      <c r="L897" s="72"/>
      <c r="M897" s="72"/>
      <c r="N897" s="72"/>
      <c r="O897" s="72"/>
      <c r="P897" s="72"/>
      <c r="Q897" s="63">
        <f t="shared" si="60"/>
        <v>112.85</v>
      </c>
      <c r="R897" s="72">
        <f t="shared" si="60"/>
        <v>0</v>
      </c>
      <c r="S897" s="63">
        <f t="shared" si="61"/>
        <v>112.85</v>
      </c>
    </row>
    <row r="898" spans="1:19" x14ac:dyDescent="0.25">
      <c r="A898" s="116" t="s">
        <v>2888</v>
      </c>
      <c r="B898" s="116" t="s">
        <v>2889</v>
      </c>
      <c r="C898" s="117">
        <v>561</v>
      </c>
      <c r="D898" s="91" t="s">
        <v>2890</v>
      </c>
      <c r="E898" s="91" t="s">
        <v>19</v>
      </c>
      <c r="F898" s="75">
        <v>41606</v>
      </c>
      <c r="G898" s="118">
        <v>55.62</v>
      </c>
      <c r="H898" s="72"/>
      <c r="I898" s="72"/>
      <c r="J898" s="130"/>
      <c r="K898" s="72"/>
      <c r="L898" s="72"/>
      <c r="M898" s="72"/>
      <c r="N898" s="72"/>
      <c r="O898" s="72"/>
      <c r="P898" s="72"/>
      <c r="Q898" s="63">
        <f t="shared" si="60"/>
        <v>55.62</v>
      </c>
      <c r="R898" s="72">
        <f t="shared" si="60"/>
        <v>0</v>
      </c>
      <c r="S898" s="63">
        <f t="shared" si="61"/>
        <v>55.62</v>
      </c>
    </row>
    <row r="899" spans="1:19" x14ac:dyDescent="0.25">
      <c r="A899" s="116" t="s">
        <v>2891</v>
      </c>
      <c r="B899" s="116" t="s">
        <v>2892</v>
      </c>
      <c r="C899" s="117">
        <v>562</v>
      </c>
      <c r="D899" s="91" t="s">
        <v>2893</v>
      </c>
      <c r="E899" s="91" t="s">
        <v>19</v>
      </c>
      <c r="F899" s="75">
        <v>41601</v>
      </c>
      <c r="G899" s="118">
        <v>361.18</v>
      </c>
      <c r="H899" s="72"/>
      <c r="I899" s="72"/>
      <c r="J899" s="130"/>
      <c r="K899" s="72"/>
      <c r="L899" s="72"/>
      <c r="M899" s="72"/>
      <c r="N899" s="72"/>
      <c r="O899" s="72"/>
      <c r="P899" s="72"/>
      <c r="Q899" s="63">
        <f t="shared" si="60"/>
        <v>361.18</v>
      </c>
      <c r="R899" s="72">
        <f t="shared" si="60"/>
        <v>0</v>
      </c>
      <c r="S899" s="63">
        <f t="shared" si="61"/>
        <v>361.18</v>
      </c>
    </row>
    <row r="900" spans="1:19" x14ac:dyDescent="0.25">
      <c r="A900" s="116" t="s">
        <v>2894</v>
      </c>
      <c r="B900" s="116" t="s">
        <v>2895</v>
      </c>
      <c r="C900" s="117">
        <v>563</v>
      </c>
      <c r="D900" s="91" t="s">
        <v>2896</v>
      </c>
      <c r="E900" s="91" t="s">
        <v>19</v>
      </c>
      <c r="F900" s="75">
        <v>41643</v>
      </c>
      <c r="G900" s="118">
        <f>47.41+126.2+400+49.36+2697.01+225.08+68.24+51.71+124.76+101.16+1404.07+150.45+9.57+9.57+17.4+124.76+36+28.22+50+15+47.2+30.36+199.36+101+178.45+12.2+2359.1+47.2+1321.4+47.2</f>
        <v>10079.439999999999</v>
      </c>
      <c r="H900" s="72"/>
      <c r="I900" s="120">
        <f>1500+1500</f>
        <v>3000</v>
      </c>
      <c r="J900" s="130"/>
      <c r="K900" s="72"/>
      <c r="L900" s="72"/>
      <c r="M900" s="72"/>
      <c r="N900" s="72"/>
      <c r="O900" s="72"/>
      <c r="P900" s="72"/>
      <c r="Q900" s="63">
        <f t="shared" si="60"/>
        <v>13079.439999999999</v>
      </c>
      <c r="R900" s="72">
        <f t="shared" si="60"/>
        <v>0</v>
      </c>
      <c r="S900" s="63">
        <f t="shared" si="61"/>
        <v>13079.439999999999</v>
      </c>
    </row>
    <row r="901" spans="1:19" x14ac:dyDescent="0.25">
      <c r="A901" s="116" t="s">
        <v>2897</v>
      </c>
      <c r="B901" s="116" t="s">
        <v>2898</v>
      </c>
      <c r="C901" s="117">
        <v>564</v>
      </c>
      <c r="D901" s="91" t="s">
        <v>2899</v>
      </c>
      <c r="E901" s="91" t="s">
        <v>19</v>
      </c>
      <c r="F901" s="75">
        <v>41745</v>
      </c>
      <c r="G901" s="118">
        <v>114.87</v>
      </c>
      <c r="H901" s="72"/>
      <c r="I901" s="72"/>
      <c r="J901" s="130"/>
      <c r="K901" s="72"/>
      <c r="L901" s="72"/>
      <c r="M901" s="72"/>
      <c r="N901" s="72"/>
      <c r="O901" s="72"/>
      <c r="P901" s="72"/>
      <c r="Q901" s="63">
        <f t="shared" si="60"/>
        <v>114.87</v>
      </c>
      <c r="R901" s="72">
        <f t="shared" si="60"/>
        <v>0</v>
      </c>
      <c r="S901" s="63">
        <f t="shared" si="61"/>
        <v>114.87</v>
      </c>
    </row>
    <row r="902" spans="1:19" x14ac:dyDescent="0.25">
      <c r="A902" s="116" t="s">
        <v>2900</v>
      </c>
      <c r="B902" s="116" t="s">
        <v>2901</v>
      </c>
      <c r="C902" s="117">
        <v>565</v>
      </c>
      <c r="D902" s="91" t="s">
        <v>2902</v>
      </c>
      <c r="E902" s="91" t="s">
        <v>19</v>
      </c>
      <c r="F902" s="75">
        <v>41611</v>
      </c>
      <c r="G902" s="118">
        <v>116.1</v>
      </c>
      <c r="H902" s="72"/>
      <c r="I902" s="72"/>
      <c r="J902" s="130"/>
      <c r="K902" s="72"/>
      <c r="L902" s="72"/>
      <c r="M902" s="72"/>
      <c r="N902" s="72"/>
      <c r="O902" s="72"/>
      <c r="P902" s="72"/>
      <c r="Q902" s="63">
        <f t="shared" si="60"/>
        <v>116.1</v>
      </c>
      <c r="R902" s="72">
        <f t="shared" si="60"/>
        <v>0</v>
      </c>
      <c r="S902" s="63">
        <f t="shared" si="61"/>
        <v>116.1</v>
      </c>
    </row>
    <row r="903" spans="1:19" x14ac:dyDescent="0.25">
      <c r="A903" s="116" t="s">
        <v>2903</v>
      </c>
      <c r="B903" s="116" t="s">
        <v>2904</v>
      </c>
      <c r="C903" s="117">
        <v>566</v>
      </c>
      <c r="D903" s="91" t="s">
        <v>2905</v>
      </c>
      <c r="E903" s="91" t="s">
        <v>19</v>
      </c>
      <c r="F903" s="75">
        <v>41611</v>
      </c>
      <c r="G903" s="118">
        <v>40.799999999999997</v>
      </c>
      <c r="H903" s="72"/>
      <c r="I903" s="72"/>
      <c r="J903" s="130"/>
      <c r="K903" s="72"/>
      <c r="L903" s="72"/>
      <c r="M903" s="72"/>
      <c r="N903" s="72"/>
      <c r="O903" s="72"/>
      <c r="P903" s="72"/>
      <c r="Q903" s="63">
        <f t="shared" si="60"/>
        <v>40.799999999999997</v>
      </c>
      <c r="R903" s="72">
        <f t="shared" si="60"/>
        <v>0</v>
      </c>
      <c r="S903" s="63">
        <f t="shared" si="61"/>
        <v>40.799999999999997</v>
      </c>
    </row>
    <row r="904" spans="1:19" x14ac:dyDescent="0.25">
      <c r="A904" s="116" t="s">
        <v>2906</v>
      </c>
      <c r="B904" s="116" t="s">
        <v>1646</v>
      </c>
      <c r="C904" s="117">
        <v>567</v>
      </c>
      <c r="D904" s="91" t="s">
        <v>2907</v>
      </c>
      <c r="E904" s="91" t="s">
        <v>19</v>
      </c>
      <c r="F904" s="75">
        <v>41611</v>
      </c>
      <c r="G904" s="118">
        <v>110</v>
      </c>
      <c r="H904" s="72"/>
      <c r="I904" s="72"/>
      <c r="J904" s="130"/>
      <c r="K904" s="72"/>
      <c r="L904" s="72"/>
      <c r="M904" s="72"/>
      <c r="N904" s="72"/>
      <c r="O904" s="72"/>
      <c r="P904" s="72"/>
      <c r="Q904" s="63">
        <f t="shared" si="60"/>
        <v>110</v>
      </c>
      <c r="R904" s="72">
        <f t="shared" si="60"/>
        <v>0</v>
      </c>
      <c r="S904" s="63">
        <f t="shared" si="61"/>
        <v>110</v>
      </c>
    </row>
    <row r="905" spans="1:19" x14ac:dyDescent="0.25">
      <c r="A905" s="116" t="s">
        <v>2908</v>
      </c>
      <c r="B905" s="116" t="s">
        <v>2909</v>
      </c>
      <c r="C905" s="117">
        <v>568</v>
      </c>
      <c r="D905" s="91" t="s">
        <v>2910</v>
      </c>
      <c r="E905" s="91" t="s">
        <v>19</v>
      </c>
      <c r="F905" s="75">
        <v>41611</v>
      </c>
      <c r="G905" s="118">
        <v>60</v>
      </c>
      <c r="H905" s="72"/>
      <c r="I905" s="72"/>
      <c r="J905" s="130"/>
      <c r="K905" s="72"/>
      <c r="L905" s="72"/>
      <c r="M905" s="72"/>
      <c r="N905" s="72"/>
      <c r="O905" s="72"/>
      <c r="P905" s="72"/>
      <c r="Q905" s="63">
        <f t="shared" si="60"/>
        <v>60</v>
      </c>
      <c r="R905" s="72">
        <f t="shared" si="60"/>
        <v>0</v>
      </c>
      <c r="S905" s="63">
        <f t="shared" si="61"/>
        <v>60</v>
      </c>
    </row>
    <row r="906" spans="1:19" x14ac:dyDescent="0.25">
      <c r="A906" s="116" t="s">
        <v>2911</v>
      </c>
      <c r="B906" s="116" t="s">
        <v>2912</v>
      </c>
      <c r="C906" s="117">
        <v>569</v>
      </c>
      <c r="D906" s="91" t="s">
        <v>2913</v>
      </c>
      <c r="E906" s="91" t="s">
        <v>19</v>
      </c>
      <c r="F906" s="75">
        <v>41617</v>
      </c>
      <c r="G906" s="118">
        <v>132.32</v>
      </c>
      <c r="H906" s="72"/>
      <c r="I906" s="72"/>
      <c r="J906" s="130"/>
      <c r="K906" s="72"/>
      <c r="L906" s="72"/>
      <c r="M906" s="72"/>
      <c r="N906" s="72"/>
      <c r="O906" s="72"/>
      <c r="P906" s="72"/>
      <c r="Q906" s="63">
        <f t="shared" si="60"/>
        <v>132.32</v>
      </c>
      <c r="R906" s="72">
        <f t="shared" si="60"/>
        <v>0</v>
      </c>
      <c r="S906" s="63">
        <f t="shared" si="61"/>
        <v>132.32</v>
      </c>
    </row>
    <row r="907" spans="1:19" x14ac:dyDescent="0.25">
      <c r="A907" s="116" t="s">
        <v>2914</v>
      </c>
      <c r="B907" s="116" t="s">
        <v>2915</v>
      </c>
      <c r="C907" s="117">
        <v>570</v>
      </c>
      <c r="D907" s="91" t="s">
        <v>2916</v>
      </c>
      <c r="E907" s="91" t="s">
        <v>19</v>
      </c>
      <c r="F907" s="75">
        <v>41619</v>
      </c>
      <c r="G907" s="118">
        <v>218.57</v>
      </c>
      <c r="H907" s="72"/>
      <c r="I907" s="72"/>
      <c r="J907" s="130"/>
      <c r="K907" s="72"/>
      <c r="L907" s="72"/>
      <c r="M907" s="72"/>
      <c r="N907" s="72"/>
      <c r="O907" s="72"/>
      <c r="P907" s="72"/>
      <c r="Q907" s="63">
        <f t="shared" si="60"/>
        <v>218.57</v>
      </c>
      <c r="R907" s="72">
        <f t="shared" si="60"/>
        <v>0</v>
      </c>
      <c r="S907" s="63">
        <f t="shared" si="61"/>
        <v>218.57</v>
      </c>
    </row>
    <row r="908" spans="1:19" x14ac:dyDescent="0.25">
      <c r="A908" s="116" t="s">
        <v>2917</v>
      </c>
      <c r="B908" s="116" t="s">
        <v>2918</v>
      </c>
      <c r="C908" s="117">
        <v>571</v>
      </c>
      <c r="D908" s="91" t="s">
        <v>2919</v>
      </c>
      <c r="E908" s="91" t="s">
        <v>19</v>
      </c>
      <c r="F908" s="75">
        <v>41619</v>
      </c>
      <c r="G908" s="118">
        <v>165.39</v>
      </c>
      <c r="H908" s="72"/>
      <c r="I908" s="72"/>
      <c r="J908" s="130"/>
      <c r="K908" s="72"/>
      <c r="L908" s="72"/>
      <c r="M908" s="72"/>
      <c r="N908" s="72"/>
      <c r="O908" s="72"/>
      <c r="P908" s="72"/>
      <c r="Q908" s="63">
        <f t="shared" si="60"/>
        <v>165.39</v>
      </c>
      <c r="R908" s="72">
        <f t="shared" si="60"/>
        <v>0</v>
      </c>
      <c r="S908" s="63">
        <f t="shared" si="61"/>
        <v>165.39</v>
      </c>
    </row>
    <row r="909" spans="1:19" x14ac:dyDescent="0.25">
      <c r="A909" s="116" t="s">
        <v>2920</v>
      </c>
      <c r="B909" s="116" t="s">
        <v>2921</v>
      </c>
      <c r="C909" s="117">
        <v>572</v>
      </c>
      <c r="D909" s="91" t="s">
        <v>2922</v>
      </c>
      <c r="E909" s="91" t="s">
        <v>19</v>
      </c>
      <c r="F909" s="75">
        <v>41619</v>
      </c>
      <c r="G909" s="118">
        <v>195.83</v>
      </c>
      <c r="H909" s="72"/>
      <c r="I909" s="72"/>
      <c r="J909" s="130"/>
      <c r="K909" s="72"/>
      <c r="L909" s="72"/>
      <c r="M909" s="72"/>
      <c r="N909" s="72"/>
      <c r="O909" s="72"/>
      <c r="P909" s="72"/>
      <c r="Q909" s="63">
        <f t="shared" si="60"/>
        <v>195.83</v>
      </c>
      <c r="R909" s="72">
        <f t="shared" si="60"/>
        <v>0</v>
      </c>
      <c r="S909" s="63">
        <f t="shared" si="61"/>
        <v>195.83</v>
      </c>
    </row>
    <row r="910" spans="1:19" x14ac:dyDescent="0.25">
      <c r="A910" s="116" t="s">
        <v>2923</v>
      </c>
      <c r="B910" s="116" t="s">
        <v>2924</v>
      </c>
      <c r="C910" s="117">
        <v>573</v>
      </c>
      <c r="D910" s="91" t="s">
        <v>2925</v>
      </c>
      <c r="E910" s="91" t="s">
        <v>19</v>
      </c>
      <c r="F910" s="75">
        <v>41619</v>
      </c>
      <c r="G910" s="118">
        <v>122.46</v>
      </c>
      <c r="H910" s="72"/>
      <c r="I910" s="72"/>
      <c r="J910" s="130"/>
      <c r="K910" s="72"/>
      <c r="L910" s="72"/>
      <c r="M910" s="72"/>
      <c r="N910" s="72"/>
      <c r="O910" s="72"/>
      <c r="P910" s="72"/>
      <c r="Q910" s="63">
        <f t="shared" si="60"/>
        <v>122.46</v>
      </c>
      <c r="R910" s="72">
        <f t="shared" si="60"/>
        <v>0</v>
      </c>
      <c r="S910" s="63">
        <f t="shared" si="61"/>
        <v>122.46</v>
      </c>
    </row>
    <row r="911" spans="1:19" x14ac:dyDescent="0.25">
      <c r="A911" s="116" t="s">
        <v>2926</v>
      </c>
      <c r="B911" s="116" t="s">
        <v>2927</v>
      </c>
      <c r="C911" s="117">
        <v>574</v>
      </c>
      <c r="D911" s="91" t="s">
        <v>2928</v>
      </c>
      <c r="E911" s="91" t="s">
        <v>19</v>
      </c>
      <c r="F911" s="75">
        <v>41615</v>
      </c>
      <c r="G911" s="118">
        <v>79.739999999999995</v>
      </c>
      <c r="H911" s="72"/>
      <c r="I911" s="72"/>
      <c r="J911" s="130"/>
      <c r="K911" s="72"/>
      <c r="L911" s="72"/>
      <c r="M911" s="72"/>
      <c r="N911" s="72"/>
      <c r="O911" s="72"/>
      <c r="P911" s="72"/>
      <c r="Q911" s="63">
        <f t="shared" si="60"/>
        <v>79.739999999999995</v>
      </c>
      <c r="R911" s="72">
        <f t="shared" si="60"/>
        <v>0</v>
      </c>
      <c r="S911" s="63">
        <f t="shared" si="61"/>
        <v>79.739999999999995</v>
      </c>
    </row>
    <row r="912" spans="1:19" x14ac:dyDescent="0.25">
      <c r="A912" s="116" t="s">
        <v>2929</v>
      </c>
      <c r="B912" s="116" t="s">
        <v>2930</v>
      </c>
      <c r="C912" s="117">
        <v>575</v>
      </c>
      <c r="D912" s="91" t="s">
        <v>2931</v>
      </c>
      <c r="E912" s="91" t="s">
        <v>19</v>
      </c>
      <c r="F912" s="75">
        <v>41615</v>
      </c>
      <c r="G912" s="118">
        <v>87.91</v>
      </c>
      <c r="H912" s="72"/>
      <c r="I912" s="72"/>
      <c r="J912" s="130"/>
      <c r="K912" s="72"/>
      <c r="L912" s="72"/>
      <c r="M912" s="72"/>
      <c r="N912" s="72"/>
      <c r="O912" s="72"/>
      <c r="P912" s="72"/>
      <c r="Q912" s="63">
        <f t="shared" si="60"/>
        <v>87.91</v>
      </c>
      <c r="R912" s="72">
        <f t="shared" si="60"/>
        <v>0</v>
      </c>
      <c r="S912" s="63">
        <f t="shared" si="61"/>
        <v>87.91</v>
      </c>
    </row>
    <row r="913" spans="1:19" x14ac:dyDescent="0.25">
      <c r="A913" s="116" t="s">
        <v>2932</v>
      </c>
      <c r="B913" s="116" t="s">
        <v>2933</v>
      </c>
      <c r="C913" s="117">
        <v>576</v>
      </c>
      <c r="D913" s="91" t="s">
        <v>2934</v>
      </c>
      <c r="E913" s="91" t="s">
        <v>19</v>
      </c>
      <c r="F913" s="75">
        <v>41638</v>
      </c>
      <c r="G913" s="118">
        <f>63.96+376.75+339.86+212.87+111.63+78.19+41.3+79.91+99.21+164.4+41.3+747+41.3+41.3</f>
        <v>2438.9800000000005</v>
      </c>
      <c r="H913" s="72"/>
      <c r="I913" s="120">
        <v>2375</v>
      </c>
      <c r="J913" s="130"/>
      <c r="K913" s="72"/>
      <c r="L913" s="72"/>
      <c r="M913" s="72"/>
      <c r="N913" s="72"/>
      <c r="O913" s="72"/>
      <c r="P913" s="72"/>
      <c r="Q913" s="63">
        <f t="shared" ref="Q913:R976" si="62">+G913+I913+K913+M913+O913</f>
        <v>4813.9800000000005</v>
      </c>
      <c r="R913" s="72">
        <f t="shared" si="62"/>
        <v>0</v>
      </c>
      <c r="S913" s="63">
        <f t="shared" ref="S913:S976" si="63">+Q913+R913</f>
        <v>4813.9800000000005</v>
      </c>
    </row>
    <row r="914" spans="1:19" x14ac:dyDescent="0.25">
      <c r="A914" s="116" t="s">
        <v>2935</v>
      </c>
      <c r="B914" s="116" t="s">
        <v>2936</v>
      </c>
      <c r="C914" s="117">
        <v>577</v>
      </c>
      <c r="D914" s="91" t="s">
        <v>2937</v>
      </c>
      <c r="E914" s="91" t="s">
        <v>19</v>
      </c>
      <c r="F914" s="75">
        <v>41666</v>
      </c>
      <c r="G914" s="118">
        <f>41.3+69.51+39.8+219.9</f>
        <v>370.51</v>
      </c>
      <c r="H914" s="72"/>
      <c r="I914" s="72"/>
      <c r="J914" s="130"/>
      <c r="K914" s="72"/>
      <c r="L914" s="72"/>
      <c r="M914" s="72"/>
      <c r="N914" s="72"/>
      <c r="O914" s="72"/>
      <c r="P914" s="72"/>
      <c r="Q914" s="63">
        <f t="shared" si="62"/>
        <v>370.51</v>
      </c>
      <c r="R914" s="72">
        <f t="shared" si="62"/>
        <v>0</v>
      </c>
      <c r="S914" s="63">
        <f t="shared" si="63"/>
        <v>370.51</v>
      </c>
    </row>
    <row r="915" spans="1:19" x14ac:dyDescent="0.25">
      <c r="A915" s="116" t="s">
        <v>2938</v>
      </c>
      <c r="B915" s="116" t="s">
        <v>2939</v>
      </c>
      <c r="C915" s="117">
        <v>578</v>
      </c>
      <c r="D915" s="91" t="s">
        <v>2940</v>
      </c>
      <c r="E915" s="91" t="s">
        <v>19</v>
      </c>
      <c r="F915" s="75">
        <v>41647</v>
      </c>
      <c r="G915" s="118">
        <f>74.44+2542.1+41.3+238+41.3+205.8</f>
        <v>3142.9400000000005</v>
      </c>
      <c r="H915" s="72"/>
      <c r="I915" s="72"/>
      <c r="J915" s="130"/>
      <c r="K915" s="72"/>
      <c r="L915" s="72"/>
      <c r="M915" s="72"/>
      <c r="N915" s="72"/>
      <c r="O915" s="72"/>
      <c r="P915" s="72"/>
      <c r="Q915" s="63">
        <f t="shared" si="62"/>
        <v>3142.9400000000005</v>
      </c>
      <c r="R915" s="72">
        <f t="shared" si="62"/>
        <v>0</v>
      </c>
      <c r="S915" s="63">
        <f t="shared" si="63"/>
        <v>3142.9400000000005</v>
      </c>
    </row>
    <row r="916" spans="1:19" x14ac:dyDescent="0.25">
      <c r="A916" s="116" t="s">
        <v>2941</v>
      </c>
      <c r="B916" s="116" t="s">
        <v>2942</v>
      </c>
      <c r="C916" s="117">
        <v>579</v>
      </c>
      <c r="D916" s="91" t="s">
        <v>2943</v>
      </c>
      <c r="E916" s="91" t="s">
        <v>19</v>
      </c>
      <c r="F916" s="75">
        <v>41611</v>
      </c>
      <c r="G916" s="118">
        <v>231.6</v>
      </c>
      <c r="H916" s="72"/>
      <c r="I916" s="72"/>
      <c r="J916" s="130"/>
      <c r="K916" s="72"/>
      <c r="L916" s="72"/>
      <c r="M916" s="72"/>
      <c r="N916" s="72"/>
      <c r="O916" s="72"/>
      <c r="P916" s="72"/>
      <c r="Q916" s="63">
        <f t="shared" si="62"/>
        <v>231.6</v>
      </c>
      <c r="R916" s="72">
        <f t="shared" si="62"/>
        <v>0</v>
      </c>
      <c r="S916" s="63">
        <f t="shared" si="63"/>
        <v>231.6</v>
      </c>
    </row>
    <row r="917" spans="1:19" x14ac:dyDescent="0.25">
      <c r="A917" s="116" t="s">
        <v>2944</v>
      </c>
      <c r="B917" s="116" t="s">
        <v>2945</v>
      </c>
      <c r="C917" s="117">
        <v>580</v>
      </c>
      <c r="D917" s="91" t="s">
        <v>2946</v>
      </c>
      <c r="E917" s="91" t="s">
        <v>19</v>
      </c>
      <c r="F917" s="75">
        <v>41645</v>
      </c>
      <c r="G917" s="118">
        <f>83.57+47.2+47.2+191.87</f>
        <v>369.84</v>
      </c>
      <c r="H917" s="72"/>
      <c r="I917" s="72"/>
      <c r="J917" s="130"/>
      <c r="K917" s="72"/>
      <c r="L917" s="72"/>
      <c r="M917" s="72"/>
      <c r="N917" s="72"/>
      <c r="O917" s="72"/>
      <c r="P917" s="72"/>
      <c r="Q917" s="63">
        <f t="shared" si="62"/>
        <v>369.84</v>
      </c>
      <c r="R917" s="72">
        <f t="shared" si="62"/>
        <v>0</v>
      </c>
      <c r="S917" s="63">
        <f t="shared" si="63"/>
        <v>369.84</v>
      </c>
    </row>
    <row r="918" spans="1:19" x14ac:dyDescent="0.25">
      <c r="A918" s="116" t="s">
        <v>1346</v>
      </c>
      <c r="B918" s="116" t="s">
        <v>1347</v>
      </c>
      <c r="C918" s="117">
        <v>581</v>
      </c>
      <c r="D918" s="91" t="s">
        <v>2947</v>
      </c>
      <c r="E918" s="91" t="s">
        <v>19</v>
      </c>
      <c r="F918" s="75">
        <v>41611</v>
      </c>
      <c r="G918" s="118">
        <v>376</v>
      </c>
      <c r="H918" s="72"/>
      <c r="I918" s="72"/>
      <c r="J918" s="130"/>
      <c r="K918" s="72"/>
      <c r="L918" s="72"/>
      <c r="M918" s="72"/>
      <c r="N918" s="72"/>
      <c r="O918" s="72"/>
      <c r="P918" s="72"/>
      <c r="Q918" s="63">
        <f t="shared" si="62"/>
        <v>376</v>
      </c>
      <c r="R918" s="72">
        <f t="shared" si="62"/>
        <v>0</v>
      </c>
      <c r="S918" s="63">
        <f t="shared" si="63"/>
        <v>376</v>
      </c>
    </row>
    <row r="919" spans="1:19" x14ac:dyDescent="0.25">
      <c r="A919" s="116" t="s">
        <v>2948</v>
      </c>
      <c r="B919" s="116" t="s">
        <v>2949</v>
      </c>
      <c r="C919" s="117">
        <v>582</v>
      </c>
      <c r="D919" s="91" t="s">
        <v>2950</v>
      </c>
      <c r="E919" s="91" t="s">
        <v>19</v>
      </c>
      <c r="F919" s="75">
        <v>41611</v>
      </c>
      <c r="G919" s="118">
        <v>126.9</v>
      </c>
      <c r="H919" s="72"/>
      <c r="I919" s="72"/>
      <c r="J919" s="130"/>
      <c r="K919" s="72"/>
      <c r="L919" s="72"/>
      <c r="M919" s="72"/>
      <c r="N919" s="72"/>
      <c r="O919" s="72"/>
      <c r="P919" s="72"/>
      <c r="Q919" s="63">
        <f t="shared" si="62"/>
        <v>126.9</v>
      </c>
      <c r="R919" s="72">
        <f t="shared" si="62"/>
        <v>0</v>
      </c>
      <c r="S919" s="63">
        <f t="shared" si="63"/>
        <v>126.9</v>
      </c>
    </row>
    <row r="920" spans="1:19" x14ac:dyDescent="0.25">
      <c r="A920" s="116" t="s">
        <v>2951</v>
      </c>
      <c r="B920" s="116" t="s">
        <v>2952</v>
      </c>
      <c r="C920" s="117">
        <v>583</v>
      </c>
      <c r="D920" s="91" t="s">
        <v>2953</v>
      </c>
      <c r="E920" s="91" t="s">
        <v>19</v>
      </c>
      <c r="F920" s="75">
        <v>41611</v>
      </c>
      <c r="G920" s="118">
        <v>136.19999999999999</v>
      </c>
      <c r="H920" s="72"/>
      <c r="I920" s="72"/>
      <c r="J920" s="130"/>
      <c r="K920" s="72"/>
      <c r="L920" s="72"/>
      <c r="M920" s="72"/>
      <c r="N920" s="72"/>
      <c r="O920" s="72"/>
      <c r="P920" s="72"/>
      <c r="Q920" s="63">
        <f t="shared" si="62"/>
        <v>136.19999999999999</v>
      </c>
      <c r="R920" s="72">
        <f t="shared" si="62"/>
        <v>0</v>
      </c>
      <c r="S920" s="63">
        <f t="shared" si="63"/>
        <v>136.19999999999999</v>
      </c>
    </row>
    <row r="921" spans="1:19" x14ac:dyDescent="0.25">
      <c r="A921" s="116" t="s">
        <v>2954</v>
      </c>
      <c r="B921" s="116" t="s">
        <v>2955</v>
      </c>
      <c r="C921" s="117">
        <v>584</v>
      </c>
      <c r="D921" s="91" t="s">
        <v>2956</v>
      </c>
      <c r="E921" s="91" t="s">
        <v>19</v>
      </c>
      <c r="F921" s="75">
        <v>41611</v>
      </c>
      <c r="G921" s="118">
        <v>41.1</v>
      </c>
      <c r="H921" s="72"/>
      <c r="I921" s="72"/>
      <c r="J921" s="130"/>
      <c r="K921" s="72"/>
      <c r="L921" s="72"/>
      <c r="M921" s="72"/>
      <c r="N921" s="72"/>
      <c r="O921" s="72"/>
      <c r="P921" s="72"/>
      <c r="Q921" s="63">
        <f t="shared" si="62"/>
        <v>41.1</v>
      </c>
      <c r="R921" s="72">
        <f t="shared" si="62"/>
        <v>0</v>
      </c>
      <c r="S921" s="63">
        <f t="shared" si="63"/>
        <v>41.1</v>
      </c>
    </row>
    <row r="922" spans="1:19" x14ac:dyDescent="0.25">
      <c r="A922" s="116" t="s">
        <v>2954</v>
      </c>
      <c r="B922" s="116" t="s">
        <v>2955</v>
      </c>
      <c r="C922" s="117">
        <v>584</v>
      </c>
      <c r="D922" s="91" t="s">
        <v>2957</v>
      </c>
      <c r="E922" s="91" t="s">
        <v>19</v>
      </c>
      <c r="F922" s="75">
        <v>41611</v>
      </c>
      <c r="G922" s="118">
        <v>40.9</v>
      </c>
      <c r="H922" s="72"/>
      <c r="I922" s="72"/>
      <c r="J922" s="130"/>
      <c r="K922" s="72"/>
      <c r="L922" s="72"/>
      <c r="M922" s="72"/>
      <c r="N922" s="72"/>
      <c r="O922" s="72"/>
      <c r="P922" s="72"/>
      <c r="Q922" s="63">
        <f t="shared" si="62"/>
        <v>40.9</v>
      </c>
      <c r="R922" s="72">
        <f t="shared" si="62"/>
        <v>0</v>
      </c>
      <c r="S922" s="63">
        <f t="shared" si="63"/>
        <v>40.9</v>
      </c>
    </row>
    <row r="923" spans="1:19" x14ac:dyDescent="0.25">
      <c r="A923" s="116" t="s">
        <v>2958</v>
      </c>
      <c r="B923" s="116" t="s">
        <v>2959</v>
      </c>
      <c r="C923" s="117">
        <v>585</v>
      </c>
      <c r="D923" s="91" t="s">
        <v>2960</v>
      </c>
      <c r="E923" s="91" t="s">
        <v>19</v>
      </c>
      <c r="F923" s="75">
        <v>41627</v>
      </c>
      <c r="G923" s="118">
        <f>238+117</f>
        <v>355</v>
      </c>
      <c r="H923" s="72"/>
      <c r="I923" s="72"/>
      <c r="J923" s="130"/>
      <c r="K923" s="72"/>
      <c r="L923" s="72"/>
      <c r="M923" s="72"/>
      <c r="N923" s="72"/>
      <c r="O923" s="72"/>
      <c r="P923" s="72"/>
      <c r="Q923" s="63">
        <f t="shared" si="62"/>
        <v>355</v>
      </c>
      <c r="R923" s="72">
        <f t="shared" si="62"/>
        <v>0</v>
      </c>
      <c r="S923" s="63">
        <f t="shared" si="63"/>
        <v>355</v>
      </c>
    </row>
    <row r="924" spans="1:19" x14ac:dyDescent="0.25">
      <c r="A924" s="116" t="s">
        <v>2961</v>
      </c>
      <c r="B924" s="116" t="s">
        <v>488</v>
      </c>
      <c r="C924" s="117">
        <v>586</v>
      </c>
      <c r="D924" s="91" t="s">
        <v>2962</v>
      </c>
      <c r="E924" s="91" t="s">
        <v>19</v>
      </c>
      <c r="F924" s="75">
        <v>41611</v>
      </c>
      <c r="G924" s="118">
        <v>40</v>
      </c>
      <c r="H924" s="72"/>
      <c r="I924" s="72"/>
      <c r="J924" s="130"/>
      <c r="K924" s="72"/>
      <c r="L924" s="72"/>
      <c r="M924" s="72"/>
      <c r="N924" s="72"/>
      <c r="O924" s="72"/>
      <c r="P924" s="72"/>
      <c r="Q924" s="63">
        <f t="shared" si="62"/>
        <v>40</v>
      </c>
      <c r="R924" s="72">
        <f t="shared" si="62"/>
        <v>0</v>
      </c>
      <c r="S924" s="63">
        <f t="shared" si="63"/>
        <v>40</v>
      </c>
    </row>
    <row r="925" spans="1:19" x14ac:dyDescent="0.25">
      <c r="A925" s="116" t="s">
        <v>2961</v>
      </c>
      <c r="B925" s="116" t="s">
        <v>488</v>
      </c>
      <c r="C925" s="117">
        <v>586</v>
      </c>
      <c r="D925" s="91" t="s">
        <v>2963</v>
      </c>
      <c r="E925" s="91" t="s">
        <v>19</v>
      </c>
      <c r="F925" s="75">
        <v>41611</v>
      </c>
      <c r="G925" s="118">
        <v>40</v>
      </c>
      <c r="H925" s="72"/>
      <c r="I925" s="72"/>
      <c r="J925" s="130"/>
      <c r="K925" s="72"/>
      <c r="L925" s="72"/>
      <c r="M925" s="72"/>
      <c r="N925" s="72"/>
      <c r="O925" s="72"/>
      <c r="P925" s="72"/>
      <c r="Q925" s="63">
        <f t="shared" si="62"/>
        <v>40</v>
      </c>
      <c r="R925" s="72">
        <f t="shared" si="62"/>
        <v>0</v>
      </c>
      <c r="S925" s="63">
        <f t="shared" si="63"/>
        <v>40</v>
      </c>
    </row>
    <row r="926" spans="1:19" x14ac:dyDescent="0.25">
      <c r="A926" s="116" t="s">
        <v>2964</v>
      </c>
      <c r="B926" s="116" t="s">
        <v>2965</v>
      </c>
      <c r="C926" s="117">
        <v>587</v>
      </c>
      <c r="D926" s="91" t="s">
        <v>2966</v>
      </c>
      <c r="E926" s="91" t="s">
        <v>19</v>
      </c>
      <c r="F926" s="75">
        <v>41611</v>
      </c>
      <c r="G926" s="118">
        <v>214.8</v>
      </c>
      <c r="H926" s="72"/>
      <c r="I926" s="72"/>
      <c r="J926" s="130"/>
      <c r="K926" s="72"/>
      <c r="L926" s="72"/>
      <c r="M926" s="72"/>
      <c r="N926" s="72"/>
      <c r="O926" s="72"/>
      <c r="P926" s="72"/>
      <c r="Q926" s="63">
        <f t="shared" si="62"/>
        <v>214.8</v>
      </c>
      <c r="R926" s="72">
        <f t="shared" si="62"/>
        <v>0</v>
      </c>
      <c r="S926" s="63">
        <f t="shared" si="63"/>
        <v>214.8</v>
      </c>
    </row>
    <row r="927" spans="1:19" x14ac:dyDescent="0.25">
      <c r="A927" s="116" t="s">
        <v>2967</v>
      </c>
      <c r="B927" s="116" t="s">
        <v>2968</v>
      </c>
      <c r="C927" s="117">
        <v>588</v>
      </c>
      <c r="D927" s="91" t="s">
        <v>2969</v>
      </c>
      <c r="E927" s="91" t="s">
        <v>19</v>
      </c>
      <c r="F927" s="75">
        <v>41611</v>
      </c>
      <c r="G927" s="118">
        <v>98</v>
      </c>
      <c r="H927" s="72"/>
      <c r="I927" s="72"/>
      <c r="J927" s="130"/>
      <c r="K927" s="72"/>
      <c r="L927" s="72"/>
      <c r="M927" s="72"/>
      <c r="N927" s="72"/>
      <c r="O927" s="72"/>
      <c r="P927" s="72"/>
      <c r="Q927" s="63">
        <f t="shared" si="62"/>
        <v>98</v>
      </c>
      <c r="R927" s="72">
        <f t="shared" si="62"/>
        <v>0</v>
      </c>
      <c r="S927" s="63">
        <f t="shared" si="63"/>
        <v>98</v>
      </c>
    </row>
    <row r="928" spans="1:19" x14ac:dyDescent="0.25">
      <c r="A928" s="116" t="s">
        <v>2970</v>
      </c>
      <c r="B928" s="116" t="s">
        <v>2971</v>
      </c>
      <c r="C928" s="117">
        <v>589</v>
      </c>
      <c r="D928" s="91" t="s">
        <v>2972</v>
      </c>
      <c r="E928" s="91" t="s">
        <v>19</v>
      </c>
      <c r="F928" s="75">
        <v>41611</v>
      </c>
      <c r="G928" s="118">
        <v>210.2</v>
      </c>
      <c r="H928" s="72"/>
      <c r="I928" s="72"/>
      <c r="J928" s="130"/>
      <c r="K928" s="72"/>
      <c r="L928" s="72"/>
      <c r="M928" s="72"/>
      <c r="N928" s="72"/>
      <c r="O928" s="72"/>
      <c r="P928" s="72"/>
      <c r="Q928" s="63">
        <f t="shared" si="62"/>
        <v>210.2</v>
      </c>
      <c r="R928" s="72">
        <f t="shared" si="62"/>
        <v>0</v>
      </c>
      <c r="S928" s="63">
        <f t="shared" si="63"/>
        <v>210.2</v>
      </c>
    </row>
    <row r="929" spans="1:19" x14ac:dyDescent="0.25">
      <c r="A929" s="116" t="s">
        <v>2973</v>
      </c>
      <c r="B929" s="116" t="s">
        <v>2974</v>
      </c>
      <c r="C929" s="117">
        <v>590</v>
      </c>
      <c r="D929" s="91" t="s">
        <v>2975</v>
      </c>
      <c r="E929" s="91" t="s">
        <v>19</v>
      </c>
      <c r="F929" s="75">
        <v>41642</v>
      </c>
      <c r="G929" s="118">
        <f>44+47.2+4461.48+65.64+41.3+41.3+41.3+122+71.65+210.56+41.3+41.3</f>
        <v>5229.0300000000007</v>
      </c>
      <c r="H929" s="72"/>
      <c r="I929" s="120">
        <f>750+750+750+750</f>
        <v>3000</v>
      </c>
      <c r="J929" s="72"/>
      <c r="K929" s="72"/>
      <c r="L929" s="72"/>
      <c r="M929" s="72"/>
      <c r="N929" s="72"/>
      <c r="O929" s="72"/>
      <c r="P929" s="72"/>
      <c r="Q929" s="63">
        <f t="shared" si="62"/>
        <v>8229.0300000000007</v>
      </c>
      <c r="R929" s="72">
        <f t="shared" si="62"/>
        <v>0</v>
      </c>
      <c r="S929" s="63">
        <f t="shared" si="63"/>
        <v>8229.0300000000007</v>
      </c>
    </row>
    <row r="930" spans="1:19" x14ac:dyDescent="0.25">
      <c r="A930" s="116" t="s">
        <v>2973</v>
      </c>
      <c r="B930" s="116" t="s">
        <v>2974</v>
      </c>
      <c r="C930" s="117">
        <v>590</v>
      </c>
      <c r="D930" s="91" t="s">
        <v>2976</v>
      </c>
      <c r="E930" s="91" t="s">
        <v>19</v>
      </c>
      <c r="F930" s="75">
        <v>41642</v>
      </c>
      <c r="G930" s="118">
        <v>287.83</v>
      </c>
      <c r="H930" s="72"/>
      <c r="I930" s="73"/>
      <c r="J930" s="72"/>
      <c r="K930" s="72"/>
      <c r="L930" s="72"/>
      <c r="M930" s="72"/>
      <c r="N930" s="72"/>
      <c r="O930" s="72"/>
      <c r="P930" s="72"/>
      <c r="Q930" s="63">
        <f t="shared" si="62"/>
        <v>287.83</v>
      </c>
      <c r="R930" s="72">
        <f t="shared" si="62"/>
        <v>0</v>
      </c>
      <c r="S930" s="63">
        <f t="shared" si="63"/>
        <v>287.83</v>
      </c>
    </row>
    <row r="931" spans="1:19" x14ac:dyDescent="0.25">
      <c r="A931" s="116" t="s">
        <v>2977</v>
      </c>
      <c r="B931" s="116" t="s">
        <v>2978</v>
      </c>
      <c r="C931" s="117">
        <v>591</v>
      </c>
      <c r="D931" s="91" t="s">
        <v>2979</v>
      </c>
      <c r="E931" s="91" t="s">
        <v>19</v>
      </c>
      <c r="F931" s="75">
        <v>41635</v>
      </c>
      <c r="G931" s="118">
        <f>287.83+47.2</f>
        <v>335.03</v>
      </c>
      <c r="H931" s="72"/>
      <c r="I931" s="120">
        <v>125</v>
      </c>
      <c r="J931" s="72"/>
      <c r="K931" s="72"/>
      <c r="L931" s="72"/>
      <c r="M931" s="72"/>
      <c r="N931" s="72"/>
      <c r="O931" s="72"/>
      <c r="P931" s="72"/>
      <c r="Q931" s="63">
        <f t="shared" si="62"/>
        <v>460.03</v>
      </c>
      <c r="R931" s="72">
        <f t="shared" si="62"/>
        <v>0</v>
      </c>
      <c r="S931" s="63">
        <f t="shared" si="63"/>
        <v>460.03</v>
      </c>
    </row>
    <row r="932" spans="1:19" x14ac:dyDescent="0.25">
      <c r="A932" s="116" t="s">
        <v>2980</v>
      </c>
      <c r="B932" s="116" t="s">
        <v>2981</v>
      </c>
      <c r="C932" s="117">
        <v>592</v>
      </c>
      <c r="D932" s="91" t="s">
        <v>2982</v>
      </c>
      <c r="E932" s="91" t="s">
        <v>19</v>
      </c>
      <c r="F932" s="75">
        <v>41772</v>
      </c>
      <c r="G932" s="118">
        <v>82.6</v>
      </c>
      <c r="H932" s="72"/>
      <c r="I932" s="72"/>
      <c r="J932" s="72"/>
      <c r="K932" s="72"/>
      <c r="L932" s="72"/>
      <c r="M932" s="72"/>
      <c r="N932" s="72"/>
      <c r="O932" s="72"/>
      <c r="P932" s="72"/>
      <c r="Q932" s="63">
        <f t="shared" si="62"/>
        <v>82.6</v>
      </c>
      <c r="R932" s="72">
        <f t="shared" si="62"/>
        <v>0</v>
      </c>
      <c r="S932" s="63">
        <f t="shared" si="63"/>
        <v>82.6</v>
      </c>
    </row>
    <row r="933" spans="1:19" x14ac:dyDescent="0.25">
      <c r="A933" s="116" t="s">
        <v>2983</v>
      </c>
      <c r="B933" s="116" t="s">
        <v>2984</v>
      </c>
      <c r="C933" s="117">
        <v>593</v>
      </c>
      <c r="D933" s="91" t="s">
        <v>2985</v>
      </c>
      <c r="E933" s="91" t="s">
        <v>19</v>
      </c>
      <c r="F933" s="75">
        <v>41703</v>
      </c>
      <c r="G933" s="118">
        <v>161</v>
      </c>
      <c r="H933" s="72"/>
      <c r="I933" s="72"/>
      <c r="J933" s="72"/>
      <c r="K933" s="72"/>
      <c r="L933" s="72"/>
      <c r="M933" s="72"/>
      <c r="N933" s="72"/>
      <c r="O933" s="72"/>
      <c r="P933" s="72"/>
      <c r="Q933" s="63">
        <f t="shared" si="62"/>
        <v>161</v>
      </c>
      <c r="R933" s="72">
        <f t="shared" si="62"/>
        <v>0</v>
      </c>
      <c r="S933" s="63">
        <f t="shared" si="63"/>
        <v>161</v>
      </c>
    </row>
    <row r="934" spans="1:19" x14ac:dyDescent="0.25">
      <c r="A934" s="116" t="s">
        <v>2986</v>
      </c>
      <c r="B934" s="116" t="s">
        <v>2987</v>
      </c>
      <c r="C934" s="117">
        <v>594</v>
      </c>
      <c r="D934" s="91" t="s">
        <v>2988</v>
      </c>
      <c r="E934" s="91" t="s">
        <v>19</v>
      </c>
      <c r="F934" s="75">
        <v>41717</v>
      </c>
      <c r="G934" s="118">
        <v>204.1</v>
      </c>
      <c r="H934" s="72"/>
      <c r="I934" s="72"/>
      <c r="J934" s="72"/>
      <c r="K934" s="72"/>
      <c r="L934" s="72"/>
      <c r="M934" s="72"/>
      <c r="N934" s="72"/>
      <c r="O934" s="72"/>
      <c r="P934" s="72"/>
      <c r="Q934" s="63">
        <f t="shared" si="62"/>
        <v>204.1</v>
      </c>
      <c r="R934" s="72">
        <f t="shared" si="62"/>
        <v>0</v>
      </c>
      <c r="S934" s="63">
        <f t="shared" si="63"/>
        <v>204.1</v>
      </c>
    </row>
    <row r="935" spans="1:19" x14ac:dyDescent="0.25">
      <c r="A935" s="116" t="s">
        <v>2989</v>
      </c>
      <c r="B935" s="116" t="s">
        <v>2990</v>
      </c>
      <c r="C935" s="117">
        <v>595</v>
      </c>
      <c r="D935" s="91" t="s">
        <v>2991</v>
      </c>
      <c r="E935" s="91" t="s">
        <v>19</v>
      </c>
      <c r="F935" s="75">
        <v>41772</v>
      </c>
      <c r="G935" s="118">
        <v>85.43</v>
      </c>
      <c r="H935" s="72"/>
      <c r="I935" s="72"/>
      <c r="J935" s="72"/>
      <c r="K935" s="72"/>
      <c r="L935" s="72"/>
      <c r="M935" s="72"/>
      <c r="N935" s="72"/>
      <c r="O935" s="72"/>
      <c r="P935" s="72"/>
      <c r="Q935" s="63">
        <f t="shared" si="62"/>
        <v>85.43</v>
      </c>
      <c r="R935" s="72">
        <f t="shared" si="62"/>
        <v>0</v>
      </c>
      <c r="S935" s="63">
        <f t="shared" si="63"/>
        <v>85.43</v>
      </c>
    </row>
    <row r="936" spans="1:19" x14ac:dyDescent="0.25">
      <c r="A936" s="116" t="s">
        <v>2004</v>
      </c>
      <c r="B936" s="116" t="s">
        <v>2005</v>
      </c>
      <c r="C936" s="117">
        <v>596</v>
      </c>
      <c r="D936" s="91" t="s">
        <v>2992</v>
      </c>
      <c r="E936" s="91" t="s">
        <v>19</v>
      </c>
      <c r="F936" s="75">
        <v>41745</v>
      </c>
      <c r="G936" s="118">
        <v>151.75</v>
      </c>
      <c r="H936" s="72"/>
      <c r="I936" s="72"/>
      <c r="J936" s="72"/>
      <c r="K936" s="72"/>
      <c r="L936" s="72"/>
      <c r="M936" s="72"/>
      <c r="N936" s="72"/>
      <c r="O936" s="72"/>
      <c r="P936" s="72"/>
      <c r="Q936" s="63">
        <f t="shared" si="62"/>
        <v>151.75</v>
      </c>
      <c r="R936" s="72">
        <f t="shared" si="62"/>
        <v>0</v>
      </c>
      <c r="S936" s="63">
        <f t="shared" si="63"/>
        <v>151.75</v>
      </c>
    </row>
    <row r="937" spans="1:19" x14ac:dyDescent="0.25">
      <c r="A937" s="116" t="s">
        <v>2004</v>
      </c>
      <c r="B937" s="116" t="s">
        <v>2005</v>
      </c>
      <c r="C937" s="117">
        <v>596</v>
      </c>
      <c r="D937" s="91" t="s">
        <v>2993</v>
      </c>
      <c r="E937" s="91" t="s">
        <v>19</v>
      </c>
      <c r="F937" s="75">
        <v>41745</v>
      </c>
      <c r="G937" s="118">
        <v>121.36</v>
      </c>
      <c r="H937" s="72"/>
      <c r="I937" s="72"/>
      <c r="J937" s="72"/>
      <c r="K937" s="72"/>
      <c r="L937" s="72"/>
      <c r="M937" s="72"/>
      <c r="N937" s="72"/>
      <c r="O937" s="72"/>
      <c r="P937" s="72"/>
      <c r="Q937" s="63">
        <f t="shared" si="62"/>
        <v>121.36</v>
      </c>
      <c r="R937" s="72">
        <f t="shared" si="62"/>
        <v>0</v>
      </c>
      <c r="S937" s="63">
        <f t="shared" si="63"/>
        <v>121.36</v>
      </c>
    </row>
    <row r="938" spans="1:19" x14ac:dyDescent="0.25">
      <c r="A938" s="116" t="s">
        <v>2004</v>
      </c>
      <c r="B938" s="116" t="s">
        <v>2005</v>
      </c>
      <c r="C938" s="117">
        <v>596</v>
      </c>
      <c r="D938" s="91" t="s">
        <v>2994</v>
      </c>
      <c r="E938" s="91" t="s">
        <v>19</v>
      </c>
      <c r="F938" s="75">
        <v>41745</v>
      </c>
      <c r="G938" s="118">
        <v>47.2</v>
      </c>
      <c r="H938" s="72"/>
      <c r="I938" s="72"/>
      <c r="J938" s="72"/>
      <c r="K938" s="72"/>
      <c r="L938" s="72"/>
      <c r="M938" s="72"/>
      <c r="N938" s="72"/>
      <c r="O938" s="72"/>
      <c r="P938" s="72"/>
      <c r="Q938" s="63">
        <f t="shared" si="62"/>
        <v>47.2</v>
      </c>
      <c r="R938" s="72">
        <f t="shared" si="62"/>
        <v>0</v>
      </c>
      <c r="S938" s="63">
        <f t="shared" si="63"/>
        <v>47.2</v>
      </c>
    </row>
    <row r="939" spans="1:19" x14ac:dyDescent="0.25">
      <c r="A939" s="116" t="s">
        <v>2004</v>
      </c>
      <c r="B939" s="116" t="s">
        <v>2005</v>
      </c>
      <c r="C939" s="117">
        <v>596</v>
      </c>
      <c r="D939" s="91" t="s">
        <v>2995</v>
      </c>
      <c r="E939" s="91" t="s">
        <v>19</v>
      </c>
      <c r="F939" s="75">
        <v>41745</v>
      </c>
      <c r="G939" s="118">
        <v>76.349999999999994</v>
      </c>
      <c r="H939" s="72"/>
      <c r="I939" s="72"/>
      <c r="J939" s="72"/>
      <c r="K939" s="72"/>
      <c r="L939" s="72"/>
      <c r="M939" s="72"/>
      <c r="N939" s="72"/>
      <c r="O939" s="72"/>
      <c r="P939" s="72"/>
      <c r="Q939" s="63">
        <f t="shared" si="62"/>
        <v>76.349999999999994</v>
      </c>
      <c r="R939" s="72">
        <f t="shared" si="62"/>
        <v>0</v>
      </c>
      <c r="S939" s="63">
        <f t="shared" si="63"/>
        <v>76.349999999999994</v>
      </c>
    </row>
    <row r="940" spans="1:19" x14ac:dyDescent="0.25">
      <c r="A940" s="116" t="s">
        <v>2004</v>
      </c>
      <c r="B940" s="116" t="s">
        <v>2005</v>
      </c>
      <c r="C940" s="117">
        <v>596</v>
      </c>
      <c r="D940" s="91" t="s">
        <v>2996</v>
      </c>
      <c r="E940" s="91" t="s">
        <v>19</v>
      </c>
      <c r="F940" s="75">
        <v>41745</v>
      </c>
      <c r="G940" s="118">
        <v>47.67</v>
      </c>
      <c r="H940" s="72"/>
      <c r="I940" s="72"/>
      <c r="J940" s="72"/>
      <c r="K940" s="72"/>
      <c r="L940" s="72"/>
      <c r="M940" s="72"/>
      <c r="N940" s="72"/>
      <c r="O940" s="72"/>
      <c r="P940" s="72"/>
      <c r="Q940" s="63">
        <f t="shared" si="62"/>
        <v>47.67</v>
      </c>
      <c r="R940" s="72">
        <f t="shared" si="62"/>
        <v>0</v>
      </c>
      <c r="S940" s="63">
        <f t="shared" si="63"/>
        <v>47.67</v>
      </c>
    </row>
    <row r="941" spans="1:19" x14ac:dyDescent="0.25">
      <c r="A941" s="116" t="s">
        <v>2997</v>
      </c>
      <c r="B941" s="116" t="s">
        <v>2998</v>
      </c>
      <c r="C941" s="117">
        <v>597</v>
      </c>
      <c r="D941" s="91" t="s">
        <v>2999</v>
      </c>
      <c r="E941" s="91" t="s">
        <v>19</v>
      </c>
      <c r="F941" s="75">
        <v>41649</v>
      </c>
      <c r="G941" s="118"/>
      <c r="H941" s="72"/>
      <c r="I941" s="72"/>
      <c r="J941" s="72"/>
      <c r="K941" s="72"/>
      <c r="L941" s="72"/>
      <c r="M941" s="72"/>
      <c r="N941" s="72"/>
      <c r="O941" s="72"/>
      <c r="P941" s="72"/>
      <c r="Q941" s="63">
        <f t="shared" si="62"/>
        <v>0</v>
      </c>
      <c r="R941" s="72">
        <f t="shared" si="62"/>
        <v>0</v>
      </c>
      <c r="S941" s="63">
        <f t="shared" si="63"/>
        <v>0</v>
      </c>
    </row>
    <row r="942" spans="1:19" x14ac:dyDescent="0.25">
      <c r="A942" s="116" t="s">
        <v>2997</v>
      </c>
      <c r="B942" s="116" t="s">
        <v>2998</v>
      </c>
      <c r="C942" s="117">
        <v>597</v>
      </c>
      <c r="D942" s="91" t="s">
        <v>3000</v>
      </c>
      <c r="E942" s="91" t="s">
        <v>19</v>
      </c>
      <c r="F942" s="75">
        <v>41649</v>
      </c>
      <c r="G942" s="118">
        <v>141</v>
      </c>
      <c r="H942" s="72"/>
      <c r="I942" s="72"/>
      <c r="J942" s="72"/>
      <c r="K942" s="72"/>
      <c r="L942" s="72"/>
      <c r="M942" s="72"/>
      <c r="N942" s="72"/>
      <c r="O942" s="72"/>
      <c r="P942" s="72"/>
      <c r="Q942" s="63">
        <f t="shared" si="62"/>
        <v>141</v>
      </c>
      <c r="R942" s="72">
        <f t="shared" si="62"/>
        <v>0</v>
      </c>
      <c r="S942" s="63">
        <f t="shared" si="63"/>
        <v>141</v>
      </c>
    </row>
    <row r="943" spans="1:19" x14ac:dyDescent="0.25">
      <c r="A943" s="116" t="s">
        <v>2997</v>
      </c>
      <c r="B943" s="116" t="s">
        <v>2998</v>
      </c>
      <c r="C943" s="117">
        <v>597</v>
      </c>
      <c r="D943" s="91" t="s">
        <v>3001</v>
      </c>
      <c r="E943" s="91" t="s">
        <v>19</v>
      </c>
      <c r="F943" s="75">
        <v>41649</v>
      </c>
      <c r="G943" s="118">
        <v>203</v>
      </c>
      <c r="H943" s="72"/>
      <c r="I943" s="72"/>
      <c r="J943" s="72"/>
      <c r="K943" s="72"/>
      <c r="L943" s="72"/>
      <c r="M943" s="72"/>
      <c r="N943" s="72"/>
      <c r="O943" s="72"/>
      <c r="P943" s="72"/>
      <c r="Q943" s="63">
        <f t="shared" si="62"/>
        <v>203</v>
      </c>
      <c r="R943" s="72">
        <f t="shared" si="62"/>
        <v>0</v>
      </c>
      <c r="S943" s="63">
        <f t="shared" si="63"/>
        <v>203</v>
      </c>
    </row>
    <row r="944" spans="1:19" x14ac:dyDescent="0.25">
      <c r="A944" s="116" t="s">
        <v>3002</v>
      </c>
      <c r="B944" s="116" t="s">
        <v>3003</v>
      </c>
      <c r="C944" s="117">
        <v>598</v>
      </c>
      <c r="D944" s="91" t="s">
        <v>3004</v>
      </c>
      <c r="E944" s="91" t="s">
        <v>19</v>
      </c>
      <c r="F944" s="75">
        <v>41649</v>
      </c>
      <c r="G944" s="118">
        <f>44.3</f>
        <v>44.3</v>
      </c>
      <c r="H944" s="72"/>
      <c r="I944" s="72"/>
      <c r="J944" s="72"/>
      <c r="K944" s="72"/>
      <c r="L944" s="72"/>
      <c r="M944" s="72"/>
      <c r="N944" s="72"/>
      <c r="O944" s="72"/>
      <c r="P944" s="72"/>
      <c r="Q944" s="63">
        <f t="shared" si="62"/>
        <v>44.3</v>
      </c>
      <c r="R944" s="72">
        <f t="shared" si="62"/>
        <v>0</v>
      </c>
      <c r="S944" s="63">
        <f t="shared" si="63"/>
        <v>44.3</v>
      </c>
    </row>
    <row r="945" spans="1:19" x14ac:dyDescent="0.25">
      <c r="A945" s="116" t="s">
        <v>3005</v>
      </c>
      <c r="B945" s="116" t="s">
        <v>3006</v>
      </c>
      <c r="C945" s="117">
        <v>599</v>
      </c>
      <c r="D945" s="91" t="s">
        <v>3007</v>
      </c>
      <c r="E945" s="91" t="s">
        <v>19</v>
      </c>
      <c r="F945" s="75">
        <v>41649</v>
      </c>
      <c r="G945" s="118">
        <f>102.9</f>
        <v>102.9</v>
      </c>
      <c r="H945" s="72"/>
      <c r="I945" s="72"/>
      <c r="J945" s="72"/>
      <c r="K945" s="72"/>
      <c r="L945" s="72"/>
      <c r="M945" s="72"/>
      <c r="N945" s="72"/>
      <c r="O945" s="72"/>
      <c r="P945" s="72"/>
      <c r="Q945" s="63">
        <f t="shared" si="62"/>
        <v>102.9</v>
      </c>
      <c r="R945" s="72">
        <f t="shared" si="62"/>
        <v>0</v>
      </c>
      <c r="S945" s="63">
        <f t="shared" si="63"/>
        <v>102.9</v>
      </c>
    </row>
    <row r="946" spans="1:19" x14ac:dyDescent="0.25">
      <c r="A946" s="116" t="s">
        <v>3008</v>
      </c>
      <c r="B946" s="116" t="s">
        <v>3009</v>
      </c>
      <c r="C946" s="117">
        <v>600</v>
      </c>
      <c r="D946" s="91" t="s">
        <v>3010</v>
      </c>
      <c r="E946" s="91" t="s">
        <v>19</v>
      </c>
      <c r="F946" s="75">
        <v>41717</v>
      </c>
      <c r="G946" s="118">
        <f>265.6</f>
        <v>265.60000000000002</v>
      </c>
      <c r="H946" s="72"/>
      <c r="I946" s="72"/>
      <c r="J946" s="72"/>
      <c r="K946" s="72"/>
      <c r="L946" s="72"/>
      <c r="M946" s="72"/>
      <c r="N946" s="72"/>
      <c r="O946" s="72"/>
      <c r="P946" s="72"/>
      <c r="Q946" s="63">
        <f t="shared" si="62"/>
        <v>265.60000000000002</v>
      </c>
      <c r="R946" s="72">
        <f t="shared" si="62"/>
        <v>0</v>
      </c>
      <c r="S946" s="63">
        <f t="shared" si="63"/>
        <v>265.60000000000002</v>
      </c>
    </row>
    <row r="947" spans="1:19" x14ac:dyDescent="0.25">
      <c r="A947" s="116" t="s">
        <v>3011</v>
      </c>
      <c r="B947" s="116" t="s">
        <v>3012</v>
      </c>
      <c r="C947" s="117">
        <v>601</v>
      </c>
      <c r="D947" s="91" t="s">
        <v>3013</v>
      </c>
      <c r="E947" s="91" t="s">
        <v>19</v>
      </c>
      <c r="F947" s="75">
        <v>41717</v>
      </c>
      <c r="G947" s="118">
        <f>107</f>
        <v>107</v>
      </c>
      <c r="H947" s="72"/>
      <c r="I947" s="72"/>
      <c r="J947" s="72"/>
      <c r="K947" s="72"/>
      <c r="L947" s="72"/>
      <c r="M947" s="72"/>
      <c r="N947" s="72"/>
      <c r="O947" s="72"/>
      <c r="P947" s="72"/>
      <c r="Q947" s="63">
        <f t="shared" si="62"/>
        <v>107</v>
      </c>
      <c r="R947" s="72">
        <f t="shared" si="62"/>
        <v>0</v>
      </c>
      <c r="S947" s="63">
        <f t="shared" si="63"/>
        <v>107</v>
      </c>
    </row>
    <row r="948" spans="1:19" x14ac:dyDescent="0.25">
      <c r="A948" s="116" t="s">
        <v>3014</v>
      </c>
      <c r="B948" s="116" t="s">
        <v>3015</v>
      </c>
      <c r="C948" s="117">
        <v>602</v>
      </c>
      <c r="D948" s="91" t="s">
        <v>3016</v>
      </c>
      <c r="E948" s="91" t="s">
        <v>19</v>
      </c>
      <c r="F948" s="75">
        <v>41662</v>
      </c>
      <c r="G948" s="118">
        <f>276.95</f>
        <v>276.95</v>
      </c>
      <c r="H948" s="72"/>
      <c r="I948" s="72"/>
      <c r="J948" s="72"/>
      <c r="K948" s="72"/>
      <c r="L948" s="72"/>
      <c r="M948" s="72"/>
      <c r="N948" s="72"/>
      <c r="O948" s="72"/>
      <c r="P948" s="72"/>
      <c r="Q948" s="63">
        <f t="shared" si="62"/>
        <v>276.95</v>
      </c>
      <c r="R948" s="72">
        <f t="shared" si="62"/>
        <v>0</v>
      </c>
      <c r="S948" s="63">
        <f t="shared" si="63"/>
        <v>276.95</v>
      </c>
    </row>
    <row r="949" spans="1:19" x14ac:dyDescent="0.25">
      <c r="A949" s="116" t="s">
        <v>3017</v>
      </c>
      <c r="B949" s="116" t="s">
        <v>3018</v>
      </c>
      <c r="C949" s="117">
        <v>603</v>
      </c>
      <c r="D949" s="91" t="s">
        <v>3019</v>
      </c>
      <c r="E949" s="91" t="s">
        <v>19</v>
      </c>
      <c r="F949" s="75">
        <v>41646</v>
      </c>
      <c r="G949" s="122">
        <f>27.4+173+512.12</f>
        <v>712.52</v>
      </c>
      <c r="H949" s="72"/>
      <c r="I949" s="120">
        <f>525</f>
        <v>525</v>
      </c>
      <c r="J949" s="72"/>
      <c r="K949" s="72"/>
      <c r="L949" s="72"/>
      <c r="M949" s="72"/>
      <c r="N949" s="72"/>
      <c r="O949" s="72"/>
      <c r="P949" s="72"/>
      <c r="Q949" s="63">
        <f t="shared" si="62"/>
        <v>1237.52</v>
      </c>
      <c r="R949" s="72">
        <f t="shared" si="62"/>
        <v>0</v>
      </c>
      <c r="S949" s="63">
        <f t="shared" si="63"/>
        <v>1237.52</v>
      </c>
    </row>
    <row r="950" spans="1:19" x14ac:dyDescent="0.25">
      <c r="A950" s="116" t="s">
        <v>3017</v>
      </c>
      <c r="B950" s="116" t="s">
        <v>3018</v>
      </c>
      <c r="C950" s="117">
        <v>603</v>
      </c>
      <c r="D950" s="91" t="s">
        <v>3020</v>
      </c>
      <c r="E950" s="91" t="s">
        <v>19</v>
      </c>
      <c r="F950" s="75">
        <v>41646</v>
      </c>
      <c r="G950" s="118">
        <f>441.14</f>
        <v>441.14</v>
      </c>
      <c r="H950" s="72"/>
      <c r="I950" s="120">
        <v>250</v>
      </c>
      <c r="J950" s="72"/>
      <c r="K950" s="72"/>
      <c r="L950" s="72"/>
      <c r="M950" s="72"/>
      <c r="N950" s="72"/>
      <c r="O950" s="72"/>
      <c r="P950" s="72"/>
      <c r="Q950" s="63">
        <f t="shared" si="62"/>
        <v>691.14</v>
      </c>
      <c r="R950" s="72">
        <f t="shared" si="62"/>
        <v>0</v>
      </c>
      <c r="S950" s="63">
        <f t="shared" si="63"/>
        <v>691.14</v>
      </c>
    </row>
    <row r="951" spans="1:19" x14ac:dyDescent="0.25">
      <c r="A951" s="116" t="s">
        <v>3021</v>
      </c>
      <c r="B951" s="116" t="s">
        <v>3022</v>
      </c>
      <c r="C951" s="117">
        <v>604</v>
      </c>
      <c r="D951" s="91" t="s">
        <v>3023</v>
      </c>
      <c r="E951" s="91" t="s">
        <v>19</v>
      </c>
      <c r="F951" s="75">
        <v>41653</v>
      </c>
      <c r="G951" s="118">
        <f>69.51+600.27+622.1+82.29+127.82</f>
        <v>1501.99</v>
      </c>
      <c r="H951" s="72"/>
      <c r="I951" s="120">
        <f>750+1000</f>
        <v>1750</v>
      </c>
      <c r="J951" s="72"/>
      <c r="K951" s="72"/>
      <c r="L951" s="72"/>
      <c r="M951" s="72"/>
      <c r="N951" s="72"/>
      <c r="O951" s="72"/>
      <c r="P951" s="72"/>
      <c r="Q951" s="63">
        <f t="shared" si="62"/>
        <v>3251.99</v>
      </c>
      <c r="R951" s="72">
        <f t="shared" si="62"/>
        <v>0</v>
      </c>
      <c r="S951" s="63">
        <f t="shared" si="63"/>
        <v>3251.99</v>
      </c>
    </row>
    <row r="952" spans="1:19" x14ac:dyDescent="0.25">
      <c r="A952" s="116" t="s">
        <v>3024</v>
      </c>
      <c r="B952" s="116" t="s">
        <v>3025</v>
      </c>
      <c r="C952" s="117">
        <v>605</v>
      </c>
      <c r="D952" s="91" t="s">
        <v>3026</v>
      </c>
      <c r="E952" s="91" t="s">
        <v>19</v>
      </c>
      <c r="F952" s="75">
        <v>41772</v>
      </c>
      <c r="G952" s="118">
        <f>96.11</f>
        <v>96.11</v>
      </c>
      <c r="H952" s="72"/>
      <c r="I952" s="72"/>
      <c r="J952" s="72"/>
      <c r="K952" s="72"/>
      <c r="L952" s="72"/>
      <c r="M952" s="72"/>
      <c r="N952" s="72"/>
      <c r="O952" s="72"/>
      <c r="P952" s="72"/>
      <c r="Q952" s="63">
        <f t="shared" si="62"/>
        <v>96.11</v>
      </c>
      <c r="R952" s="72">
        <f t="shared" si="62"/>
        <v>0</v>
      </c>
      <c r="S952" s="63">
        <f t="shared" si="63"/>
        <v>96.11</v>
      </c>
    </row>
    <row r="953" spans="1:19" x14ac:dyDescent="0.25">
      <c r="A953" s="116" t="s">
        <v>3027</v>
      </c>
      <c r="B953" s="116" t="s">
        <v>3028</v>
      </c>
      <c r="C953" s="117">
        <v>606</v>
      </c>
      <c r="D953" s="91" t="s">
        <v>3029</v>
      </c>
      <c r="E953" s="91" t="s">
        <v>19</v>
      </c>
      <c r="F953" s="75">
        <v>41772</v>
      </c>
      <c r="G953" s="118">
        <f>151.07</f>
        <v>151.07</v>
      </c>
      <c r="H953" s="72"/>
      <c r="I953" s="72"/>
      <c r="J953" s="72"/>
      <c r="K953" s="72"/>
      <c r="L953" s="72"/>
      <c r="M953" s="72"/>
      <c r="N953" s="72"/>
      <c r="O953" s="72"/>
      <c r="P953" s="72"/>
      <c r="Q953" s="63">
        <f t="shared" si="62"/>
        <v>151.07</v>
      </c>
      <c r="R953" s="72">
        <f t="shared" si="62"/>
        <v>0</v>
      </c>
      <c r="S953" s="63">
        <f t="shared" si="63"/>
        <v>151.07</v>
      </c>
    </row>
    <row r="954" spans="1:19" x14ac:dyDescent="0.25">
      <c r="A954" s="116" t="s">
        <v>3030</v>
      </c>
      <c r="B954" s="116" t="s">
        <v>3031</v>
      </c>
      <c r="C954" s="117">
        <v>607</v>
      </c>
      <c r="D954" s="91" t="s">
        <v>3032</v>
      </c>
      <c r="E954" s="91" t="s">
        <v>19</v>
      </c>
      <c r="F954" s="75">
        <v>41646</v>
      </c>
      <c r="G954" s="118">
        <f>590+612.42+4307+2225.67+143.56+64.9+71+64.9+64.9+631.3</f>
        <v>8775.65</v>
      </c>
      <c r="H954" s="72"/>
      <c r="I954" s="63">
        <v>3700</v>
      </c>
      <c r="J954" s="72"/>
      <c r="K954" s="72"/>
      <c r="L954" s="72"/>
      <c r="M954" s="72"/>
      <c r="N954" s="72"/>
      <c r="O954" s="72"/>
      <c r="P954" s="72"/>
      <c r="Q954" s="63">
        <f t="shared" si="62"/>
        <v>12475.65</v>
      </c>
      <c r="R954" s="72">
        <f t="shared" si="62"/>
        <v>0</v>
      </c>
      <c r="S954" s="63">
        <f t="shared" si="63"/>
        <v>12475.65</v>
      </c>
    </row>
    <row r="955" spans="1:19" x14ac:dyDescent="0.25">
      <c r="A955" s="116" t="s">
        <v>3033</v>
      </c>
      <c r="B955" s="116" t="s">
        <v>3034</v>
      </c>
      <c r="C955" s="117">
        <v>608</v>
      </c>
      <c r="D955" s="91" t="s">
        <v>3035</v>
      </c>
      <c r="E955" s="91" t="s">
        <v>19</v>
      </c>
      <c r="F955" s="75">
        <v>41611</v>
      </c>
      <c r="G955" s="118">
        <v>133.1</v>
      </c>
      <c r="H955" s="72"/>
      <c r="I955" s="72"/>
      <c r="J955" s="72"/>
      <c r="K955" s="72"/>
      <c r="L955" s="72"/>
      <c r="M955" s="72"/>
      <c r="N955" s="72"/>
      <c r="O955" s="72"/>
      <c r="P955" s="72"/>
      <c r="Q955" s="63">
        <f t="shared" si="62"/>
        <v>133.1</v>
      </c>
      <c r="R955" s="72">
        <f t="shared" si="62"/>
        <v>0</v>
      </c>
      <c r="S955" s="63">
        <f t="shared" si="63"/>
        <v>133.1</v>
      </c>
    </row>
    <row r="956" spans="1:19" x14ac:dyDescent="0.25">
      <c r="A956" s="116" t="s">
        <v>3033</v>
      </c>
      <c r="B956" s="116" t="s">
        <v>3034</v>
      </c>
      <c r="C956" s="117">
        <v>608</v>
      </c>
      <c r="D956" s="91" t="s">
        <v>3036</v>
      </c>
      <c r="E956" s="91" t="s">
        <v>19</v>
      </c>
      <c r="F956" s="75">
        <v>41611</v>
      </c>
      <c r="G956" s="118">
        <f>113.4</f>
        <v>113.4</v>
      </c>
      <c r="H956" s="72"/>
      <c r="I956" s="72"/>
      <c r="J956" s="72"/>
      <c r="K956" s="72"/>
      <c r="L956" s="72"/>
      <c r="M956" s="72"/>
      <c r="N956" s="72"/>
      <c r="O956" s="72"/>
      <c r="P956" s="72"/>
      <c r="Q956" s="63">
        <f t="shared" si="62"/>
        <v>113.4</v>
      </c>
      <c r="R956" s="72">
        <f t="shared" si="62"/>
        <v>0</v>
      </c>
      <c r="S956" s="63">
        <f t="shared" si="63"/>
        <v>113.4</v>
      </c>
    </row>
    <row r="957" spans="1:19" x14ac:dyDescent="0.25">
      <c r="A957" s="116" t="s">
        <v>3033</v>
      </c>
      <c r="B957" s="116" t="s">
        <v>3034</v>
      </c>
      <c r="C957" s="117">
        <v>608</v>
      </c>
      <c r="D957" s="91" t="s">
        <v>3037</v>
      </c>
      <c r="E957" s="91" t="s">
        <v>19</v>
      </c>
      <c r="F957" s="75">
        <v>41611</v>
      </c>
      <c r="G957" s="118">
        <f>310.6</f>
        <v>310.60000000000002</v>
      </c>
      <c r="H957" s="72"/>
      <c r="I957" s="72"/>
      <c r="J957" s="72"/>
      <c r="K957" s="72"/>
      <c r="L957" s="72"/>
      <c r="M957" s="72"/>
      <c r="N957" s="72"/>
      <c r="O957" s="72"/>
      <c r="P957" s="72"/>
      <c r="Q957" s="63">
        <f t="shared" si="62"/>
        <v>310.60000000000002</v>
      </c>
      <c r="R957" s="72">
        <f t="shared" si="62"/>
        <v>0</v>
      </c>
      <c r="S957" s="63">
        <f t="shared" si="63"/>
        <v>310.60000000000002</v>
      </c>
    </row>
    <row r="958" spans="1:19" x14ac:dyDescent="0.25">
      <c r="A958" s="116" t="s">
        <v>3038</v>
      </c>
      <c r="B958" s="116" t="s">
        <v>3039</v>
      </c>
      <c r="C958" s="117">
        <v>609</v>
      </c>
      <c r="D958" s="91" t="s">
        <v>3040</v>
      </c>
      <c r="E958" s="91" t="s">
        <v>19</v>
      </c>
      <c r="F958" s="75">
        <v>41673</v>
      </c>
      <c r="G958" s="118">
        <f>730+440+17060.9</f>
        <v>18230.900000000001</v>
      </c>
      <c r="H958" s="72"/>
      <c r="I958" s="72"/>
      <c r="J958" s="72"/>
      <c r="K958" s="72"/>
      <c r="L958" s="72"/>
      <c r="M958" s="72"/>
      <c r="N958" s="72"/>
      <c r="O958" s="72"/>
      <c r="P958" s="72"/>
      <c r="Q958" s="63">
        <f t="shared" si="62"/>
        <v>18230.900000000001</v>
      </c>
      <c r="R958" s="72">
        <f t="shared" si="62"/>
        <v>0</v>
      </c>
      <c r="S958" s="63">
        <f t="shared" si="63"/>
        <v>18230.900000000001</v>
      </c>
    </row>
    <row r="959" spans="1:19" x14ac:dyDescent="0.25">
      <c r="A959" s="116" t="s">
        <v>3041</v>
      </c>
      <c r="B959" s="116" t="s">
        <v>3042</v>
      </c>
      <c r="C959" s="117">
        <v>610</v>
      </c>
      <c r="D959" s="91" t="s">
        <v>3043</v>
      </c>
      <c r="E959" s="91" t="s">
        <v>19</v>
      </c>
      <c r="F959" s="75">
        <v>41655</v>
      </c>
      <c r="G959" s="118">
        <f>201</f>
        <v>201</v>
      </c>
      <c r="H959" s="72"/>
      <c r="I959" s="72"/>
      <c r="J959" s="72"/>
      <c r="K959" s="72"/>
      <c r="L959" s="72"/>
      <c r="M959" s="72"/>
      <c r="N959" s="72"/>
      <c r="O959" s="72"/>
      <c r="P959" s="72"/>
      <c r="Q959" s="63">
        <f t="shared" si="62"/>
        <v>201</v>
      </c>
      <c r="R959" s="72">
        <f t="shared" si="62"/>
        <v>0</v>
      </c>
      <c r="S959" s="63">
        <f t="shared" si="63"/>
        <v>201</v>
      </c>
    </row>
    <row r="960" spans="1:19" x14ac:dyDescent="0.25">
      <c r="A960" s="116" t="s">
        <v>3044</v>
      </c>
      <c r="B960" s="116" t="s">
        <v>3045</v>
      </c>
      <c r="C960" s="117">
        <v>611</v>
      </c>
      <c r="D960" s="91" t="s">
        <v>3046</v>
      </c>
      <c r="E960" s="91" t="s">
        <v>19</v>
      </c>
      <c r="F960" s="75">
        <v>41666</v>
      </c>
      <c r="G960" s="118">
        <f>72.76</f>
        <v>72.760000000000005</v>
      </c>
      <c r="H960" s="72"/>
      <c r="I960" s="72"/>
      <c r="J960" s="72"/>
      <c r="K960" s="72"/>
      <c r="L960" s="72"/>
      <c r="M960" s="72"/>
      <c r="N960" s="72"/>
      <c r="O960" s="72"/>
      <c r="P960" s="72"/>
      <c r="Q960" s="63">
        <f t="shared" si="62"/>
        <v>72.760000000000005</v>
      </c>
      <c r="R960" s="72">
        <f t="shared" si="62"/>
        <v>0</v>
      </c>
      <c r="S960" s="63">
        <f t="shared" si="63"/>
        <v>72.760000000000005</v>
      </c>
    </row>
    <row r="961" spans="1:19" x14ac:dyDescent="0.25">
      <c r="A961" s="116" t="s">
        <v>3047</v>
      </c>
      <c r="B961" s="116" t="s">
        <v>3048</v>
      </c>
      <c r="C961" s="117">
        <v>612</v>
      </c>
      <c r="D961" s="91" t="s">
        <v>3049</v>
      </c>
      <c r="E961" s="91" t="s">
        <v>19</v>
      </c>
      <c r="F961" s="75">
        <v>41676</v>
      </c>
      <c r="G961" s="118">
        <f>97.08+121.9+436.6+64.9+436.6+64.9+297.4</f>
        <v>1519.38</v>
      </c>
      <c r="H961" s="72"/>
      <c r="I961" s="63">
        <v>1500</v>
      </c>
      <c r="J961" s="72"/>
      <c r="K961" s="72"/>
      <c r="L961" s="72"/>
      <c r="M961" s="72"/>
      <c r="N961" s="72"/>
      <c r="O961" s="72"/>
      <c r="P961" s="72"/>
      <c r="Q961" s="63">
        <f t="shared" si="62"/>
        <v>3019.38</v>
      </c>
      <c r="R961" s="72">
        <f t="shared" si="62"/>
        <v>0</v>
      </c>
      <c r="S961" s="63">
        <f t="shared" si="63"/>
        <v>3019.38</v>
      </c>
    </row>
    <row r="962" spans="1:19" x14ac:dyDescent="0.25">
      <c r="A962" s="116" t="s">
        <v>3047</v>
      </c>
      <c r="B962" s="116" t="s">
        <v>3048</v>
      </c>
      <c r="C962" s="117">
        <v>612</v>
      </c>
      <c r="D962" s="91" t="s">
        <v>3050</v>
      </c>
      <c r="E962" s="91" t="s">
        <v>19</v>
      </c>
      <c r="F962" s="75">
        <v>41676</v>
      </c>
      <c r="G962" s="118">
        <f>116.4</f>
        <v>116.4</v>
      </c>
      <c r="H962" s="72"/>
      <c r="I962" s="72"/>
      <c r="J962" s="72"/>
      <c r="K962" s="72"/>
      <c r="L962" s="72"/>
      <c r="M962" s="72"/>
      <c r="N962" s="72"/>
      <c r="O962" s="72"/>
      <c r="P962" s="72"/>
      <c r="Q962" s="63">
        <f t="shared" si="62"/>
        <v>116.4</v>
      </c>
      <c r="R962" s="72">
        <f t="shared" si="62"/>
        <v>0</v>
      </c>
      <c r="S962" s="63">
        <f t="shared" si="63"/>
        <v>116.4</v>
      </c>
    </row>
    <row r="963" spans="1:19" x14ac:dyDescent="0.25">
      <c r="A963" s="116" t="s">
        <v>3051</v>
      </c>
      <c r="B963" s="116" t="s">
        <v>3052</v>
      </c>
      <c r="C963" s="117">
        <v>613</v>
      </c>
      <c r="D963" s="91" t="s">
        <v>3053</v>
      </c>
      <c r="E963" s="91" t="s">
        <v>19</v>
      </c>
      <c r="F963" s="75">
        <v>41660</v>
      </c>
      <c r="G963" s="118">
        <f>183.41</f>
        <v>183.41</v>
      </c>
      <c r="H963" s="72"/>
      <c r="I963" s="72"/>
      <c r="J963" s="72"/>
      <c r="K963" s="72"/>
      <c r="L963" s="72"/>
      <c r="M963" s="72"/>
      <c r="N963" s="72"/>
      <c r="O963" s="72"/>
      <c r="P963" s="72"/>
      <c r="Q963" s="63">
        <f t="shared" si="62"/>
        <v>183.41</v>
      </c>
      <c r="R963" s="72">
        <f t="shared" si="62"/>
        <v>0</v>
      </c>
      <c r="S963" s="63">
        <f t="shared" si="63"/>
        <v>183.41</v>
      </c>
    </row>
    <row r="964" spans="1:19" x14ac:dyDescent="0.25">
      <c r="A964" s="116" t="s">
        <v>3054</v>
      </c>
      <c r="B964" s="116" t="s">
        <v>3055</v>
      </c>
      <c r="C964" s="117">
        <v>614</v>
      </c>
      <c r="D964" s="91" t="s">
        <v>3056</v>
      </c>
      <c r="E964" s="91" t="s">
        <v>19</v>
      </c>
      <c r="F964" s="75">
        <v>41662</v>
      </c>
      <c r="G964" s="118">
        <f>185.35</f>
        <v>185.35</v>
      </c>
      <c r="H964" s="72"/>
      <c r="I964" s="72"/>
      <c r="J964" s="72"/>
      <c r="K964" s="72"/>
      <c r="L964" s="72"/>
      <c r="M964" s="72"/>
      <c r="N964" s="72"/>
      <c r="O964" s="72"/>
      <c r="P964" s="72"/>
      <c r="Q964" s="63">
        <f t="shared" si="62"/>
        <v>185.35</v>
      </c>
      <c r="R964" s="72">
        <f t="shared" si="62"/>
        <v>0</v>
      </c>
      <c r="S964" s="63">
        <f t="shared" si="63"/>
        <v>185.35</v>
      </c>
    </row>
    <row r="965" spans="1:19" x14ac:dyDescent="0.25">
      <c r="A965" s="116" t="s">
        <v>3057</v>
      </c>
      <c r="B965" s="116" t="s">
        <v>3058</v>
      </c>
      <c r="C965" s="117">
        <v>615</v>
      </c>
      <c r="D965" s="91" t="s">
        <v>3059</v>
      </c>
      <c r="E965" s="91" t="s">
        <v>19</v>
      </c>
      <c r="F965" s="75">
        <v>41682</v>
      </c>
      <c r="G965" s="118">
        <f>125.54</f>
        <v>125.54</v>
      </c>
      <c r="H965" s="72"/>
      <c r="I965" s="120">
        <v>175</v>
      </c>
      <c r="J965" s="72"/>
      <c r="K965" s="72"/>
      <c r="L965" s="72"/>
      <c r="M965" s="72"/>
      <c r="N965" s="72"/>
      <c r="O965" s="72"/>
      <c r="P965" s="72"/>
      <c r="Q965" s="63">
        <f t="shared" si="62"/>
        <v>300.54000000000002</v>
      </c>
      <c r="R965" s="72">
        <f t="shared" si="62"/>
        <v>0</v>
      </c>
      <c r="S965" s="63">
        <f t="shared" si="63"/>
        <v>300.54000000000002</v>
      </c>
    </row>
    <row r="966" spans="1:19" x14ac:dyDescent="0.25">
      <c r="A966" s="116" t="s">
        <v>3060</v>
      </c>
      <c r="B966" s="116" t="s">
        <v>3061</v>
      </c>
      <c r="C966" s="117">
        <v>616</v>
      </c>
      <c r="D966" s="91" t="s">
        <v>3062</v>
      </c>
      <c r="E966" s="91" t="s">
        <v>19</v>
      </c>
      <c r="F966" s="75">
        <v>41690</v>
      </c>
      <c r="G966" s="118">
        <v>1357.2</v>
      </c>
      <c r="H966" s="72"/>
      <c r="I966" s="72"/>
      <c r="J966" s="72"/>
      <c r="K966" s="72"/>
      <c r="L966" s="72"/>
      <c r="M966" s="72"/>
      <c r="N966" s="72"/>
      <c r="O966" s="72"/>
      <c r="P966" s="72"/>
      <c r="Q966" s="63">
        <f t="shared" si="62"/>
        <v>1357.2</v>
      </c>
      <c r="R966" s="72">
        <f t="shared" si="62"/>
        <v>0</v>
      </c>
      <c r="S966" s="63">
        <f t="shared" si="63"/>
        <v>1357.2</v>
      </c>
    </row>
    <row r="967" spans="1:19" x14ac:dyDescent="0.25">
      <c r="A967" s="116" t="s">
        <v>3063</v>
      </c>
      <c r="B967" s="116" t="s">
        <v>3064</v>
      </c>
      <c r="C967" s="117">
        <v>617</v>
      </c>
      <c r="D967" s="91" t="s">
        <v>3065</v>
      </c>
      <c r="E967" s="91" t="s">
        <v>19</v>
      </c>
      <c r="F967" s="75">
        <v>41745</v>
      </c>
      <c r="G967" s="118">
        <f>128.27</f>
        <v>128.27000000000001</v>
      </c>
      <c r="H967" s="72"/>
      <c r="I967" s="72"/>
      <c r="J967" s="72"/>
      <c r="K967" s="72"/>
      <c r="L967" s="72"/>
      <c r="M967" s="72"/>
      <c r="N967" s="72"/>
      <c r="O967" s="72"/>
      <c r="P967" s="72"/>
      <c r="Q967" s="63">
        <f t="shared" si="62"/>
        <v>128.27000000000001</v>
      </c>
      <c r="R967" s="72">
        <f t="shared" si="62"/>
        <v>0</v>
      </c>
      <c r="S967" s="63">
        <f t="shared" si="63"/>
        <v>128.27000000000001</v>
      </c>
    </row>
    <row r="968" spans="1:19" x14ac:dyDescent="0.25">
      <c r="A968" s="116" t="s">
        <v>3066</v>
      </c>
      <c r="B968" s="116" t="s">
        <v>3067</v>
      </c>
      <c r="C968" s="117">
        <v>618</v>
      </c>
      <c r="D968" s="91" t="s">
        <v>3068</v>
      </c>
      <c r="E968" s="91" t="s">
        <v>19</v>
      </c>
      <c r="F968" s="75">
        <v>41745</v>
      </c>
      <c r="G968" s="118">
        <f>85.26</f>
        <v>85.26</v>
      </c>
      <c r="H968" s="72"/>
      <c r="I968" s="72"/>
      <c r="J968" s="72"/>
      <c r="K968" s="72"/>
      <c r="L968" s="72"/>
      <c r="M968" s="72"/>
      <c r="N968" s="72"/>
      <c r="O968" s="72"/>
      <c r="P968" s="72"/>
      <c r="Q968" s="63">
        <f t="shared" si="62"/>
        <v>85.26</v>
      </c>
      <c r="R968" s="72">
        <f t="shared" si="62"/>
        <v>0</v>
      </c>
      <c r="S968" s="63">
        <f t="shared" si="63"/>
        <v>85.26</v>
      </c>
    </row>
    <row r="969" spans="1:19" x14ac:dyDescent="0.25">
      <c r="A969" s="116" t="s">
        <v>3066</v>
      </c>
      <c r="B969" s="116" t="s">
        <v>3067</v>
      </c>
      <c r="C969" s="117">
        <v>618</v>
      </c>
      <c r="D969" s="91" t="s">
        <v>3069</v>
      </c>
      <c r="E969" s="91" t="s">
        <v>19</v>
      </c>
      <c r="F969" s="75">
        <v>41745</v>
      </c>
      <c r="G969" s="118">
        <f>110.04</f>
        <v>110.04</v>
      </c>
      <c r="H969" s="72"/>
      <c r="I969" s="72"/>
      <c r="J969" s="72"/>
      <c r="K969" s="72"/>
      <c r="L969" s="72"/>
      <c r="M969" s="72"/>
      <c r="N969" s="72"/>
      <c r="O969" s="72"/>
      <c r="P969" s="72"/>
      <c r="Q969" s="63">
        <f t="shared" si="62"/>
        <v>110.04</v>
      </c>
      <c r="R969" s="72">
        <f t="shared" si="62"/>
        <v>0</v>
      </c>
      <c r="S969" s="63">
        <f t="shared" si="63"/>
        <v>110.04</v>
      </c>
    </row>
    <row r="970" spans="1:19" x14ac:dyDescent="0.25">
      <c r="A970" s="116" t="s">
        <v>3070</v>
      </c>
      <c r="B970" s="116" t="s">
        <v>3071</v>
      </c>
      <c r="C970" s="117">
        <v>619</v>
      </c>
      <c r="D970" s="91" t="s">
        <v>3072</v>
      </c>
      <c r="E970" s="91" t="s">
        <v>19</v>
      </c>
      <c r="F970" s="75">
        <v>41745</v>
      </c>
      <c r="G970" s="118">
        <f>347.45</f>
        <v>347.45</v>
      </c>
      <c r="H970" s="72"/>
      <c r="I970" s="72"/>
      <c r="J970" s="72"/>
      <c r="K970" s="72"/>
      <c r="L970" s="72"/>
      <c r="M970" s="72"/>
      <c r="N970" s="72"/>
      <c r="O970" s="72"/>
      <c r="P970" s="72"/>
      <c r="Q970" s="63">
        <f t="shared" si="62"/>
        <v>347.45</v>
      </c>
      <c r="R970" s="72">
        <f t="shared" si="62"/>
        <v>0</v>
      </c>
      <c r="S970" s="63">
        <f t="shared" si="63"/>
        <v>347.45</v>
      </c>
    </row>
    <row r="971" spans="1:19" x14ac:dyDescent="0.25">
      <c r="A971" s="116" t="s">
        <v>3073</v>
      </c>
      <c r="B971" s="116" t="s">
        <v>3074</v>
      </c>
      <c r="C971" s="117">
        <v>620</v>
      </c>
      <c r="D971" s="91" t="s">
        <v>3075</v>
      </c>
      <c r="E971" s="91" t="s">
        <v>19</v>
      </c>
      <c r="F971" s="75">
        <v>41703</v>
      </c>
      <c r="G971" s="118">
        <f>125.5</f>
        <v>125.5</v>
      </c>
      <c r="H971" s="72"/>
      <c r="I971" s="72"/>
      <c r="J971" s="72"/>
      <c r="K971" s="72"/>
      <c r="L971" s="72"/>
      <c r="M971" s="72"/>
      <c r="N971" s="72"/>
      <c r="O971" s="72"/>
      <c r="P971" s="72"/>
      <c r="Q971" s="63">
        <f t="shared" si="62"/>
        <v>125.5</v>
      </c>
      <c r="R971" s="72">
        <f t="shared" si="62"/>
        <v>0</v>
      </c>
      <c r="S971" s="63">
        <f t="shared" si="63"/>
        <v>125.5</v>
      </c>
    </row>
    <row r="972" spans="1:19" x14ac:dyDescent="0.25">
      <c r="A972" s="116" t="s">
        <v>3073</v>
      </c>
      <c r="B972" s="116" t="s">
        <v>3074</v>
      </c>
      <c r="C972" s="117">
        <v>620</v>
      </c>
      <c r="D972" s="91" t="s">
        <v>3076</v>
      </c>
      <c r="E972" s="91" t="s">
        <v>19</v>
      </c>
      <c r="F972" s="75">
        <v>41703</v>
      </c>
      <c r="G972" s="118"/>
      <c r="H972" s="72"/>
      <c r="I972" s="72"/>
      <c r="J972" s="72"/>
      <c r="K972" s="72"/>
      <c r="L972" s="72"/>
      <c r="M972" s="72"/>
      <c r="N972" s="72"/>
      <c r="O972" s="72"/>
      <c r="P972" s="72"/>
      <c r="Q972" s="63">
        <f t="shared" si="62"/>
        <v>0</v>
      </c>
      <c r="R972" s="72">
        <f t="shared" si="62"/>
        <v>0</v>
      </c>
      <c r="S972" s="63">
        <f t="shared" si="63"/>
        <v>0</v>
      </c>
    </row>
    <row r="973" spans="1:19" x14ac:dyDescent="0.25">
      <c r="A973" s="116" t="s">
        <v>3077</v>
      </c>
      <c r="B973" s="116" t="s">
        <v>3078</v>
      </c>
      <c r="C973" s="117">
        <v>621</v>
      </c>
      <c r="D973" s="91" t="s">
        <v>3079</v>
      </c>
      <c r="E973" s="91" t="s">
        <v>19</v>
      </c>
      <c r="F973" s="75">
        <v>41703</v>
      </c>
      <c r="G973" s="118">
        <f>195.5</f>
        <v>195.5</v>
      </c>
      <c r="H973" s="72"/>
      <c r="I973" s="72"/>
      <c r="J973" s="72"/>
      <c r="K973" s="72"/>
      <c r="L973" s="72"/>
      <c r="M973" s="72"/>
      <c r="N973" s="72"/>
      <c r="O973" s="72"/>
      <c r="P973" s="72"/>
      <c r="Q973" s="63">
        <f t="shared" si="62"/>
        <v>195.5</v>
      </c>
      <c r="R973" s="72">
        <f t="shared" si="62"/>
        <v>0</v>
      </c>
      <c r="S973" s="63">
        <f t="shared" si="63"/>
        <v>195.5</v>
      </c>
    </row>
    <row r="974" spans="1:19" x14ac:dyDescent="0.25">
      <c r="A974" s="116" t="s">
        <v>3080</v>
      </c>
      <c r="B974" s="116" t="s">
        <v>3081</v>
      </c>
      <c r="C974" s="117">
        <v>622</v>
      </c>
      <c r="D974" s="91" t="s">
        <v>3082</v>
      </c>
      <c r="E974" s="91" t="s">
        <v>19</v>
      </c>
      <c r="F974" s="75">
        <v>41766</v>
      </c>
      <c r="G974" s="118">
        <f>143+62.4+109</f>
        <v>314.39999999999998</v>
      </c>
      <c r="H974" s="72"/>
      <c r="I974" s="63">
        <f>750/30*80+1700</f>
        <v>3700</v>
      </c>
      <c r="J974" s="72"/>
      <c r="K974" s="72"/>
      <c r="L974" s="72"/>
      <c r="M974" s="72"/>
      <c r="N974" s="72"/>
      <c r="O974" s="72"/>
      <c r="P974" s="72"/>
      <c r="Q974" s="63">
        <f t="shared" si="62"/>
        <v>4014.4</v>
      </c>
      <c r="R974" s="72">
        <f t="shared" si="62"/>
        <v>0</v>
      </c>
      <c r="S974" s="63">
        <f t="shared" si="63"/>
        <v>4014.4</v>
      </c>
    </row>
    <row r="975" spans="1:19" x14ac:dyDescent="0.25">
      <c r="A975" s="116" t="s">
        <v>3083</v>
      </c>
      <c r="B975" s="116" t="s">
        <v>3084</v>
      </c>
      <c r="C975" s="117">
        <v>623</v>
      </c>
      <c r="D975" s="91" t="s">
        <v>3085</v>
      </c>
      <c r="E975" s="91" t="s">
        <v>19</v>
      </c>
      <c r="F975" s="75">
        <v>41766</v>
      </c>
      <c r="G975" s="118">
        <v>48.5</v>
      </c>
      <c r="H975" s="72"/>
      <c r="I975" s="72"/>
      <c r="J975" s="72"/>
      <c r="K975" s="72"/>
      <c r="L975" s="72"/>
      <c r="M975" s="72"/>
      <c r="N975" s="72"/>
      <c r="O975" s="72"/>
      <c r="P975" s="72"/>
      <c r="Q975" s="63">
        <f t="shared" si="62"/>
        <v>48.5</v>
      </c>
      <c r="R975" s="72">
        <f t="shared" si="62"/>
        <v>0</v>
      </c>
      <c r="S975" s="63">
        <f t="shared" si="63"/>
        <v>48.5</v>
      </c>
    </row>
    <row r="976" spans="1:19" x14ac:dyDescent="0.25">
      <c r="A976" s="116" t="s">
        <v>3083</v>
      </c>
      <c r="B976" s="116" t="s">
        <v>3084</v>
      </c>
      <c r="C976" s="117">
        <v>623</v>
      </c>
      <c r="D976" s="91" t="s">
        <v>3086</v>
      </c>
      <c r="E976" s="91" t="s">
        <v>19</v>
      </c>
      <c r="F976" s="75">
        <v>41766</v>
      </c>
      <c r="G976" s="118">
        <v>48.4</v>
      </c>
      <c r="H976" s="72"/>
      <c r="I976" s="72"/>
      <c r="J976" s="72"/>
      <c r="K976" s="72"/>
      <c r="L976" s="72"/>
      <c r="M976" s="72"/>
      <c r="N976" s="72"/>
      <c r="O976" s="72"/>
      <c r="P976" s="72"/>
      <c r="Q976" s="63">
        <f t="shared" si="62"/>
        <v>48.4</v>
      </c>
      <c r="R976" s="72">
        <f t="shared" si="62"/>
        <v>0</v>
      </c>
      <c r="S976" s="63">
        <f t="shared" si="63"/>
        <v>48.4</v>
      </c>
    </row>
    <row r="977" spans="1:19" x14ac:dyDescent="0.25">
      <c r="A977" s="116" t="s">
        <v>3087</v>
      </c>
      <c r="B977" s="116" t="s">
        <v>3088</v>
      </c>
      <c r="C977" s="117">
        <v>624</v>
      </c>
      <c r="D977" s="91" t="s">
        <v>3089</v>
      </c>
      <c r="E977" s="91" t="s">
        <v>19</v>
      </c>
      <c r="F977" s="75">
        <v>41703</v>
      </c>
      <c r="G977" s="118">
        <v>113.2</v>
      </c>
      <c r="H977" s="72"/>
      <c r="I977" s="72"/>
      <c r="J977" s="72"/>
      <c r="K977" s="72"/>
      <c r="L977" s="72"/>
      <c r="M977" s="72"/>
      <c r="N977" s="72"/>
      <c r="O977" s="72"/>
      <c r="P977" s="72"/>
      <c r="Q977" s="63">
        <f t="shared" ref="Q977:R987" si="64">+G977+I977+K977+M977+O977</f>
        <v>113.2</v>
      </c>
      <c r="R977" s="72">
        <f t="shared" si="64"/>
        <v>0</v>
      </c>
      <c r="S977" s="63">
        <f t="shared" ref="S977:S987" si="65">+Q977+R977</f>
        <v>113.2</v>
      </c>
    </row>
    <row r="978" spans="1:19" x14ac:dyDescent="0.25">
      <c r="A978" s="116" t="s">
        <v>2667</v>
      </c>
      <c r="B978" s="116" t="s">
        <v>2668</v>
      </c>
      <c r="C978" s="117">
        <v>625</v>
      </c>
      <c r="D978" s="91" t="s">
        <v>3090</v>
      </c>
      <c r="E978" s="91" t="s">
        <v>19</v>
      </c>
      <c r="F978" s="75">
        <v>41703</v>
      </c>
      <c r="G978" s="118">
        <v>138.5</v>
      </c>
      <c r="H978" s="72"/>
      <c r="I978" s="72"/>
      <c r="J978" s="72"/>
      <c r="K978" s="72"/>
      <c r="L978" s="72"/>
      <c r="M978" s="72"/>
      <c r="N978" s="72"/>
      <c r="O978" s="72"/>
      <c r="P978" s="72"/>
      <c r="Q978" s="63">
        <f t="shared" si="64"/>
        <v>138.5</v>
      </c>
      <c r="R978" s="72">
        <f t="shared" si="64"/>
        <v>0</v>
      </c>
      <c r="S978" s="63">
        <f t="shared" si="65"/>
        <v>138.5</v>
      </c>
    </row>
    <row r="979" spans="1:19" x14ac:dyDescent="0.25">
      <c r="A979" s="116" t="s">
        <v>3091</v>
      </c>
      <c r="B979" s="116" t="s">
        <v>3092</v>
      </c>
      <c r="C979" s="117">
        <v>626</v>
      </c>
      <c r="D979" s="91" t="s">
        <v>3093</v>
      </c>
      <c r="E979" s="91" t="s">
        <v>19</v>
      </c>
      <c r="F979" s="75">
        <v>41703</v>
      </c>
      <c r="G979" s="118">
        <v>40</v>
      </c>
      <c r="H979" s="72"/>
      <c r="I979" s="72"/>
      <c r="J979" s="72"/>
      <c r="K979" s="72"/>
      <c r="L979" s="72"/>
      <c r="M979" s="72"/>
      <c r="N979" s="72"/>
      <c r="O979" s="72"/>
      <c r="P979" s="72"/>
      <c r="Q979" s="63">
        <f t="shared" si="64"/>
        <v>40</v>
      </c>
      <c r="R979" s="72">
        <f t="shared" si="64"/>
        <v>0</v>
      </c>
      <c r="S979" s="63">
        <f t="shared" si="65"/>
        <v>40</v>
      </c>
    </row>
    <row r="980" spans="1:19" x14ac:dyDescent="0.25">
      <c r="A980" s="116" t="s">
        <v>3094</v>
      </c>
      <c r="B980" s="116" t="s">
        <v>3095</v>
      </c>
      <c r="C980" s="117">
        <v>627</v>
      </c>
      <c r="D980" s="91" t="s">
        <v>3096</v>
      </c>
      <c r="E980" s="91" t="s">
        <v>19</v>
      </c>
      <c r="F980" s="75">
        <v>41703</v>
      </c>
      <c r="G980" s="118">
        <v>133</v>
      </c>
      <c r="H980" s="72"/>
      <c r="I980" s="72"/>
      <c r="J980" s="72"/>
      <c r="K980" s="72"/>
      <c r="L980" s="72"/>
      <c r="M980" s="72"/>
      <c r="N980" s="72"/>
      <c r="O980" s="72"/>
      <c r="P980" s="72"/>
      <c r="Q980" s="63">
        <f t="shared" si="64"/>
        <v>133</v>
      </c>
      <c r="R980" s="72">
        <f t="shared" si="64"/>
        <v>0</v>
      </c>
      <c r="S980" s="63">
        <f t="shared" si="65"/>
        <v>133</v>
      </c>
    </row>
    <row r="981" spans="1:19" x14ac:dyDescent="0.25">
      <c r="A981" s="116">
        <v>72907</v>
      </c>
      <c r="B981" s="116" t="s">
        <v>3097</v>
      </c>
      <c r="C981" s="117">
        <v>628</v>
      </c>
      <c r="D981" s="91" t="s">
        <v>3098</v>
      </c>
      <c r="E981" s="91" t="s">
        <v>19</v>
      </c>
      <c r="F981" s="75">
        <v>41740</v>
      </c>
      <c r="G981" s="118">
        <v>168.5</v>
      </c>
      <c r="H981" s="72"/>
      <c r="I981" s="72"/>
      <c r="J981" s="72"/>
      <c r="K981" s="72"/>
      <c r="L981" s="72"/>
      <c r="M981" s="72"/>
      <c r="N981" s="72"/>
      <c r="O981" s="72"/>
      <c r="P981" s="72"/>
      <c r="Q981" s="63">
        <f t="shared" si="64"/>
        <v>168.5</v>
      </c>
      <c r="R981" s="72">
        <f t="shared" si="64"/>
        <v>0</v>
      </c>
      <c r="S981" s="63">
        <f t="shared" si="65"/>
        <v>168.5</v>
      </c>
    </row>
    <row r="982" spans="1:19" x14ac:dyDescent="0.25">
      <c r="A982" s="116">
        <v>88689</v>
      </c>
      <c r="B982" s="116" t="s">
        <v>800</v>
      </c>
      <c r="C982" s="117">
        <v>629</v>
      </c>
      <c r="D982" s="91" t="s">
        <v>3099</v>
      </c>
      <c r="E982" s="91" t="s">
        <v>19</v>
      </c>
      <c r="F982" s="75">
        <v>41684</v>
      </c>
      <c r="G982" s="118">
        <v>81.599999999999994</v>
      </c>
      <c r="H982" s="72"/>
      <c r="I982" s="72"/>
      <c r="J982" s="72"/>
      <c r="K982" s="72"/>
      <c r="L982" s="72"/>
      <c r="M982" s="72"/>
      <c r="N982" s="72"/>
      <c r="O982" s="72"/>
      <c r="P982" s="72"/>
      <c r="Q982" s="63">
        <f t="shared" si="64"/>
        <v>81.599999999999994</v>
      </c>
      <c r="R982" s="72">
        <f t="shared" si="64"/>
        <v>0</v>
      </c>
      <c r="S982" s="63">
        <f t="shared" si="65"/>
        <v>81.599999999999994</v>
      </c>
    </row>
    <row r="983" spans="1:19" x14ac:dyDescent="0.25">
      <c r="A983" s="116">
        <v>79310</v>
      </c>
      <c r="B983" s="116" t="s">
        <v>3100</v>
      </c>
      <c r="C983" s="117">
        <v>630</v>
      </c>
      <c r="D983" s="91" t="s">
        <v>3101</v>
      </c>
      <c r="E983" s="91" t="s">
        <v>19</v>
      </c>
      <c r="F983" s="75">
        <v>41743</v>
      </c>
      <c r="G983" s="118">
        <v>48.5</v>
      </c>
      <c r="H983" s="72"/>
      <c r="I983" s="72"/>
      <c r="J983" s="72"/>
      <c r="K983" s="72"/>
      <c r="L983" s="72"/>
      <c r="M983" s="72"/>
      <c r="N983" s="72"/>
      <c r="O983" s="72"/>
      <c r="P983" s="72"/>
      <c r="Q983" s="63">
        <f t="shared" si="64"/>
        <v>48.5</v>
      </c>
      <c r="R983" s="72">
        <f t="shared" si="64"/>
        <v>0</v>
      </c>
      <c r="S983" s="63">
        <f t="shared" si="65"/>
        <v>48.5</v>
      </c>
    </row>
    <row r="984" spans="1:19" x14ac:dyDescent="0.25">
      <c r="A984" s="116">
        <v>79310</v>
      </c>
      <c r="B984" s="116" t="s">
        <v>3100</v>
      </c>
      <c r="C984" s="117">
        <v>630</v>
      </c>
      <c r="D984" s="91" t="s">
        <v>3102</v>
      </c>
      <c r="E984" s="91" t="s">
        <v>19</v>
      </c>
      <c r="F984" s="75">
        <v>41743</v>
      </c>
      <c r="G984" s="118"/>
      <c r="H984" s="72"/>
      <c r="I984" s="72"/>
      <c r="J984" s="72"/>
      <c r="K984" s="72"/>
      <c r="L984" s="72"/>
      <c r="M984" s="72"/>
      <c r="N984" s="72"/>
      <c r="O984" s="72"/>
      <c r="P984" s="72"/>
      <c r="Q984" s="63">
        <f t="shared" si="64"/>
        <v>0</v>
      </c>
      <c r="R984" s="72">
        <f t="shared" si="64"/>
        <v>0</v>
      </c>
      <c r="S984" s="63">
        <f t="shared" si="65"/>
        <v>0</v>
      </c>
    </row>
    <row r="985" spans="1:19" x14ac:dyDescent="0.25">
      <c r="A985" s="116">
        <v>79310</v>
      </c>
      <c r="B985" s="116" t="s">
        <v>3100</v>
      </c>
      <c r="C985" s="117">
        <v>630</v>
      </c>
      <c r="D985" s="91" t="s">
        <v>3103</v>
      </c>
      <c r="E985" s="91" t="s">
        <v>19</v>
      </c>
      <c r="F985" s="75">
        <v>41743</v>
      </c>
      <c r="G985" s="118">
        <f>70</f>
        <v>70</v>
      </c>
      <c r="H985" s="72"/>
      <c r="I985" s="72"/>
      <c r="J985" s="72"/>
      <c r="K985" s="72"/>
      <c r="L985" s="72"/>
      <c r="M985" s="72"/>
      <c r="N985" s="72"/>
      <c r="O985" s="72"/>
      <c r="P985" s="72"/>
      <c r="Q985" s="63">
        <f t="shared" si="64"/>
        <v>70</v>
      </c>
      <c r="R985" s="72">
        <f t="shared" si="64"/>
        <v>0</v>
      </c>
      <c r="S985" s="63">
        <f t="shared" si="65"/>
        <v>70</v>
      </c>
    </row>
    <row r="986" spans="1:19" x14ac:dyDescent="0.25">
      <c r="A986" s="116">
        <v>85283</v>
      </c>
      <c r="B986" s="116" t="s">
        <v>3104</v>
      </c>
      <c r="C986" s="117">
        <v>631</v>
      </c>
      <c r="D986" s="91" t="s">
        <v>3105</v>
      </c>
      <c r="E986" s="91" t="s">
        <v>19</v>
      </c>
      <c r="F986" s="75">
        <v>41743</v>
      </c>
      <c r="G986" s="118">
        <v>165.9</v>
      </c>
      <c r="H986" s="72"/>
      <c r="I986" s="72"/>
      <c r="J986" s="72"/>
      <c r="K986" s="72"/>
      <c r="L986" s="72"/>
      <c r="M986" s="72"/>
      <c r="N986" s="72"/>
      <c r="O986" s="72"/>
      <c r="P986" s="72"/>
      <c r="Q986" s="63">
        <f t="shared" si="64"/>
        <v>165.9</v>
      </c>
      <c r="R986" s="72">
        <f t="shared" si="64"/>
        <v>0</v>
      </c>
      <c r="S986" s="63">
        <f t="shared" si="65"/>
        <v>165.9</v>
      </c>
    </row>
    <row r="987" spans="1:19" x14ac:dyDescent="0.25">
      <c r="A987" s="116">
        <v>89077</v>
      </c>
      <c r="B987" s="116" t="s">
        <v>3106</v>
      </c>
      <c r="C987" s="117">
        <v>632</v>
      </c>
      <c r="D987" s="91" t="s">
        <v>3107</v>
      </c>
      <c r="E987" s="91" t="s">
        <v>19</v>
      </c>
      <c r="F987" s="75">
        <v>41745</v>
      </c>
      <c r="G987" s="118">
        <v>75</v>
      </c>
      <c r="H987" s="72"/>
      <c r="I987" s="72"/>
      <c r="J987" s="72"/>
      <c r="K987" s="72"/>
      <c r="L987" s="72"/>
      <c r="M987" s="72"/>
      <c r="N987" s="72"/>
      <c r="O987" s="72"/>
      <c r="P987" s="72"/>
      <c r="Q987" s="63">
        <f t="shared" si="64"/>
        <v>75</v>
      </c>
      <c r="R987" s="72">
        <f t="shared" si="64"/>
        <v>0</v>
      </c>
      <c r="S987" s="63">
        <f t="shared" si="65"/>
        <v>75</v>
      </c>
    </row>
    <row r="988" spans="1:19" x14ac:dyDescent="0.25">
      <c r="A988" s="116">
        <v>66837</v>
      </c>
      <c r="B988" s="116" t="s">
        <v>3108</v>
      </c>
      <c r="C988" s="117">
        <v>633</v>
      </c>
      <c r="D988" s="91" t="s">
        <v>3109</v>
      </c>
      <c r="E988" s="91" t="s">
        <v>19</v>
      </c>
      <c r="F988" s="75">
        <v>41754</v>
      </c>
      <c r="G988" s="122"/>
      <c r="H988" s="72"/>
      <c r="I988" s="72"/>
      <c r="J988" s="72"/>
      <c r="K988" s="72"/>
      <c r="L988" s="72"/>
      <c r="M988" s="72">
        <v>3500</v>
      </c>
      <c r="N988" s="72"/>
      <c r="O988" s="72">
        <v>14800</v>
      </c>
      <c r="P988" s="72"/>
      <c r="Q988" s="63">
        <f t="shared" ref="Q988:R992" si="66">+G988+I988+K988+M988+O988</f>
        <v>18300</v>
      </c>
      <c r="R988" s="72">
        <f t="shared" si="66"/>
        <v>0</v>
      </c>
      <c r="S988" s="63">
        <f>+Q988+R988</f>
        <v>18300</v>
      </c>
    </row>
    <row r="989" spans="1:19" x14ac:dyDescent="0.25">
      <c r="A989" s="116">
        <v>71200</v>
      </c>
      <c r="B989" s="116" t="s">
        <v>3110</v>
      </c>
      <c r="C989" s="117">
        <v>634</v>
      </c>
      <c r="D989" s="91" t="s">
        <v>3111</v>
      </c>
      <c r="E989" s="91" t="s">
        <v>19</v>
      </c>
      <c r="F989" s="75">
        <v>41743</v>
      </c>
      <c r="G989" s="118">
        <f>266.9</f>
        <v>266.89999999999998</v>
      </c>
      <c r="H989" s="72"/>
      <c r="I989" s="72"/>
      <c r="J989" s="72"/>
      <c r="K989" s="72"/>
      <c r="L989" s="72"/>
      <c r="M989" s="72"/>
      <c r="N989" s="72"/>
      <c r="O989" s="72"/>
      <c r="P989" s="72"/>
      <c r="Q989" s="63">
        <f t="shared" si="66"/>
        <v>266.89999999999998</v>
      </c>
      <c r="R989" s="72">
        <f t="shared" si="66"/>
        <v>0</v>
      </c>
      <c r="S989" s="63">
        <f>+Q989+R989</f>
        <v>266.89999999999998</v>
      </c>
    </row>
    <row r="990" spans="1:19" x14ac:dyDescent="0.25">
      <c r="A990" s="116">
        <v>88059</v>
      </c>
      <c r="B990" s="116" t="s">
        <v>3112</v>
      </c>
      <c r="C990" s="117">
        <v>635</v>
      </c>
      <c r="D990" s="91" t="s">
        <v>3113</v>
      </c>
      <c r="E990" s="91" t="s">
        <v>19</v>
      </c>
      <c r="F990" s="75">
        <v>41708</v>
      </c>
      <c r="G990" s="120">
        <v>1382.81</v>
      </c>
      <c r="H990" s="72"/>
      <c r="I990" s="72"/>
      <c r="J990" s="72"/>
      <c r="K990" s="72"/>
      <c r="L990" s="72"/>
      <c r="M990" s="72"/>
      <c r="N990" s="72"/>
      <c r="O990" s="72"/>
      <c r="P990" s="72"/>
      <c r="Q990" s="63">
        <f t="shared" si="66"/>
        <v>1382.81</v>
      </c>
      <c r="R990" s="72">
        <f t="shared" si="66"/>
        <v>0</v>
      </c>
      <c r="S990" s="63">
        <f>+Q990+R990</f>
        <v>1382.81</v>
      </c>
    </row>
    <row r="991" spans="1:19" x14ac:dyDescent="0.25">
      <c r="A991" s="116">
        <v>74760</v>
      </c>
      <c r="B991" s="116" t="s">
        <v>1276</v>
      </c>
      <c r="C991" s="117">
        <v>636</v>
      </c>
      <c r="D991" s="91" t="s">
        <v>3114</v>
      </c>
      <c r="E991" s="91" t="s">
        <v>19</v>
      </c>
      <c r="F991" s="75">
        <v>41750</v>
      </c>
      <c r="G991" s="120">
        <v>718.8</v>
      </c>
      <c r="H991" s="72"/>
      <c r="I991" s="72"/>
      <c r="J991" s="72"/>
      <c r="K991" s="72"/>
      <c r="L991" s="72"/>
      <c r="M991" s="72"/>
      <c r="N991" s="72"/>
      <c r="O991" s="72"/>
      <c r="P991" s="72"/>
      <c r="Q991" s="63">
        <f t="shared" si="66"/>
        <v>718.8</v>
      </c>
      <c r="R991" s="72">
        <f t="shared" si="66"/>
        <v>0</v>
      </c>
      <c r="S991" s="63">
        <f>+Q991+R991</f>
        <v>718.8</v>
      </c>
    </row>
    <row r="992" spans="1:19" x14ac:dyDescent="0.25">
      <c r="A992" s="116">
        <v>73901</v>
      </c>
      <c r="B992" s="116" t="s">
        <v>3115</v>
      </c>
      <c r="C992" s="117">
        <v>637</v>
      </c>
      <c r="D992" s="91" t="s">
        <v>3116</v>
      </c>
      <c r="E992" s="91" t="s">
        <v>2806</v>
      </c>
      <c r="F992" s="75">
        <v>41823</v>
      </c>
      <c r="G992" s="120">
        <v>64.31</v>
      </c>
      <c r="H992" s="72"/>
      <c r="I992" s="72"/>
      <c r="J992" s="72"/>
      <c r="K992" s="72"/>
      <c r="L992" s="72"/>
      <c r="M992" s="72"/>
      <c r="N992" s="72"/>
      <c r="O992" s="72"/>
      <c r="P992" s="72"/>
      <c r="Q992" s="63">
        <f t="shared" si="66"/>
        <v>64.31</v>
      </c>
      <c r="R992" s="72">
        <f t="shared" si="66"/>
        <v>0</v>
      </c>
      <c r="S992" s="63">
        <f>+Q992+R992</f>
        <v>64.31</v>
      </c>
    </row>
    <row r="993" spans="1:19" x14ac:dyDescent="0.25">
      <c r="A993" s="77"/>
      <c r="B993" s="77"/>
      <c r="C993" s="77"/>
      <c r="D993" s="77"/>
      <c r="E993" s="77"/>
      <c r="F993" s="93"/>
      <c r="G993" s="131">
        <f>SUM(G10:G992)</f>
        <v>856506.69999999925</v>
      </c>
      <c r="H993" s="131">
        <f t="shared" ref="H993:R993" si="67">SUM(H10:H992)</f>
        <v>0</v>
      </c>
      <c r="I993" s="131">
        <f t="shared" si="67"/>
        <v>251073</v>
      </c>
      <c r="J993" s="131">
        <f t="shared" si="67"/>
        <v>0</v>
      </c>
      <c r="K993" s="131">
        <f t="shared" si="67"/>
        <v>12432</v>
      </c>
      <c r="L993" s="131">
        <f t="shared" si="67"/>
        <v>0</v>
      </c>
      <c r="M993" s="131">
        <f t="shared" si="67"/>
        <v>42950</v>
      </c>
      <c r="N993" s="131">
        <f t="shared" si="67"/>
        <v>0</v>
      </c>
      <c r="O993" s="131">
        <f t="shared" si="67"/>
        <v>192200</v>
      </c>
      <c r="P993" s="131">
        <f t="shared" si="67"/>
        <v>0</v>
      </c>
      <c r="Q993" s="131">
        <f>SUM(Q10:Q992)</f>
        <v>1370735.2600000005</v>
      </c>
      <c r="R993" s="131">
        <f t="shared" si="67"/>
        <v>0</v>
      </c>
      <c r="S993" s="132">
        <f>SUM(S10:S992)</f>
        <v>1370735.2600000005</v>
      </c>
    </row>
    <row r="994" spans="1:19" x14ac:dyDescent="0.25">
      <c r="O994" s="11"/>
    </row>
    <row r="995" spans="1:19" x14ac:dyDescent="0.25">
      <c r="Q995" s="12"/>
    </row>
  </sheetData>
  <mergeCells count="27">
    <mergeCell ref="Q6:Q9"/>
    <mergeCell ref="G7:G9"/>
    <mergeCell ref="H7:H9"/>
    <mergeCell ref="I7:I9"/>
    <mergeCell ref="J7:J9"/>
    <mergeCell ref="K7:K9"/>
    <mergeCell ref="P7:P9"/>
    <mergeCell ref="L7:L9"/>
    <mergeCell ref="K6:L6"/>
    <mergeCell ref="M6:N6"/>
    <mergeCell ref="O6:P6"/>
    <mergeCell ref="A1:S1"/>
    <mergeCell ref="A2:S2"/>
    <mergeCell ref="A4:S4"/>
    <mergeCell ref="A6:A9"/>
    <mergeCell ref="B6:B9"/>
    <mergeCell ref="C6:C9"/>
    <mergeCell ref="D6:D9"/>
    <mergeCell ref="E6:E9"/>
    <mergeCell ref="F6:F9"/>
    <mergeCell ref="G6:H6"/>
    <mergeCell ref="I6:J6"/>
    <mergeCell ref="R6:R9"/>
    <mergeCell ref="S6:S9"/>
    <mergeCell ref="M7:M9"/>
    <mergeCell ref="N7:N9"/>
    <mergeCell ref="O7:O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2019</vt:lpstr>
      <vt:lpstr>2018</vt:lpstr>
      <vt:lpstr>2017</vt:lpstr>
      <vt:lpstr>2016</vt:lpstr>
      <vt:lpstr>2015</vt:lpstr>
      <vt:lpstr>2014</vt:lpstr>
      <vt:lpstr>2013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secretaria1</cp:lastModifiedBy>
  <cp:lastPrinted>2016-02-12T17:51:14Z</cp:lastPrinted>
  <dcterms:created xsi:type="dcterms:W3CDTF">2014-06-10T20:16:08Z</dcterms:created>
  <dcterms:modified xsi:type="dcterms:W3CDTF">2019-07-04T13:58:53Z</dcterms:modified>
</cp:coreProperties>
</file>